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3395" windowHeight="11040"/>
  </bookViews>
  <sheets>
    <sheet name="Anexo 1 - Pessoal E, DF, M" sheetId="1" r:id="rId1"/>
  </sheets>
  <definedNames>
    <definedName name="Ações">#REF!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etalhes_do_Demonstrativo_MDE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0">#REF!,#REF!</definedName>
    <definedName name="xxx">#REF!,#REF!</definedName>
  </definedNames>
  <calcPr calcId="124519"/>
</workbook>
</file>

<file path=xl/calcChain.xml><?xml version="1.0" encoding="utf-8"?>
<calcChain xmlns="http://schemas.openxmlformats.org/spreadsheetml/2006/main">
  <c r="S26" i="1"/>
  <c r="Q26"/>
  <c r="P26"/>
  <c r="O26"/>
  <c r="N26"/>
  <c r="Q25"/>
  <c r="P25"/>
  <c r="O25"/>
  <c r="N35"/>
  <c r="N33"/>
  <c r="N25"/>
  <c r="M35"/>
  <c r="M32" s="1"/>
  <c r="L32"/>
  <c r="K32"/>
  <c r="J32"/>
  <c r="M27"/>
  <c r="L27"/>
  <c r="K27"/>
  <c r="J27"/>
  <c r="M26"/>
  <c r="L26"/>
  <c r="K26"/>
  <c r="M25"/>
  <c r="L25"/>
  <c r="K25"/>
  <c r="J25"/>
  <c r="M24"/>
  <c r="M23" s="1"/>
  <c r="M37" s="1"/>
  <c r="L24"/>
  <c r="L23" s="1"/>
  <c r="L37" s="1"/>
  <c r="K24"/>
  <c r="K23" s="1"/>
  <c r="K37" s="1"/>
  <c r="J24"/>
  <c r="J23" s="1"/>
  <c r="J37" s="1"/>
  <c r="G35"/>
  <c r="G32" s="1"/>
  <c r="F35"/>
  <c r="F33"/>
  <c r="F32" s="1"/>
  <c r="I32"/>
  <c r="H32"/>
  <c r="I27"/>
  <c r="H27"/>
  <c r="G27"/>
  <c r="F27"/>
  <c r="I26"/>
  <c r="H26"/>
  <c r="G26"/>
  <c r="F26"/>
  <c r="I25"/>
  <c r="I24" s="1"/>
  <c r="I23" s="1"/>
  <c r="I37" s="1"/>
  <c r="H25"/>
  <c r="H24" s="1"/>
  <c r="H23" s="1"/>
  <c r="H37" s="1"/>
  <c r="G25"/>
  <c r="F25"/>
  <c r="G24"/>
  <c r="G23" s="1"/>
  <c r="F24"/>
  <c r="F23" s="1"/>
  <c r="G37" l="1"/>
  <c r="F37"/>
  <c r="J43"/>
  <c r="J45" s="1"/>
  <c r="S32"/>
  <c r="S27"/>
  <c r="S25"/>
  <c r="S24" s="1"/>
  <c r="S23" s="1"/>
  <c r="J46" l="1"/>
  <c r="J47"/>
  <c r="N32"/>
  <c r="R35" l="1"/>
  <c r="R34"/>
  <c r="R33"/>
  <c r="Q32"/>
  <c r="P32"/>
  <c r="O32"/>
  <c r="R31"/>
  <c r="R30"/>
  <c r="R29"/>
  <c r="R28"/>
  <c r="Q27"/>
  <c r="P27"/>
  <c r="O27"/>
  <c r="N27"/>
  <c r="R26"/>
  <c r="Q24"/>
  <c r="P24"/>
  <c r="O24"/>
  <c r="N24"/>
  <c r="R25"/>
  <c r="S37"/>
  <c r="Q23" l="1"/>
  <c r="Q37" s="1"/>
  <c r="P23"/>
  <c r="P37" s="1"/>
  <c r="R27"/>
  <c r="O23"/>
  <c r="O37" s="1"/>
  <c r="N23"/>
  <c r="N37" s="1"/>
  <c r="R24"/>
  <c r="R32"/>
  <c r="R36"/>
  <c r="X40"/>
  <c r="X39"/>
  <c r="R23" l="1"/>
  <c r="R37" s="1"/>
  <c r="J44" s="1"/>
  <c r="Q44" s="1"/>
</calcChain>
</file>

<file path=xl/sharedStrings.xml><?xml version="1.0" encoding="utf-8"?>
<sst xmlns="http://schemas.openxmlformats.org/spreadsheetml/2006/main" count="84" uniqueCount="79">
  <si>
    <t>RELATÓRIO DE GESTÃO FISCAL</t>
  </si>
  <si>
    <t xml:space="preserve"> RGF - ANEXO 1 (LRF, art. 55, inciso I, alínea "a")</t>
  </si>
  <si>
    <t>DESPESA COM PESSOAL</t>
  </si>
  <si>
    <t>DESPESAS EXECUTADAS</t>
  </si>
  <si>
    <t>(Últimos 12 Meses)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</si>
  <si>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</si>
  <si>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</si>
  <si>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</si>
  <si>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</si>
  <si>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</si>
  <si>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</si>
  <si>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</si>
  <si>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</si>
  <si>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</si>
  <si>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</si>
  <si>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</si>
  <si>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</si>
  <si>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Pessoal Inativo e Pensionistas</t>
  </si>
  <si>
    <t>Indenizações por Demissão e Incentivos à Demissão Voluntária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</si>
  <si>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</si>
  <si>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</si>
  <si>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</si>
  <si>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</si>
  <si>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</si>
  <si>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</si>
  <si>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</si>
  <si>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t>= RECEITA CORRENTE LÍQUIDA AJUSTADA (VI)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</si>
  <si>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</si>
  <si>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CÂMARA MUNICIPAL DO RIO DE JANEIRO</t>
  </si>
  <si>
    <t>Contador-Geral</t>
  </si>
  <si>
    <t>Vinicius Costa Rocha Viana</t>
  </si>
  <si>
    <t>Controlador-Geral</t>
  </si>
  <si>
    <t>MESA DIRETORA</t>
  </si>
  <si>
    <t>Presidente</t>
  </si>
  <si>
    <t>TÂNIA BASTOS</t>
  </si>
  <si>
    <t>ZICO</t>
  </si>
  <si>
    <t>2º Vice-Presidente</t>
  </si>
  <si>
    <t>1º Secretário</t>
  </si>
  <si>
    <t>MUNICÍPIO DO RIO DE JANEIRO - PODER LEGISLATIVO</t>
  </si>
  <si>
    <t>FONTE: CONTADORIA-GERAL/CMRJ</t>
  </si>
  <si>
    <t xml:space="preserve"> </t>
  </si>
  <si>
    <t xml:space="preserve">DEMONSTRATIVO DA DESPESA COM PESSOAL </t>
  </si>
  <si>
    <t>ORÇAMENTOS FISCAL E DA SEGURIDADE SOCIAL</t>
  </si>
  <si>
    <t xml:space="preserve">       Vencimento, Vantagens e Outras Despesas Variáveis</t>
  </si>
  <si>
    <t xml:space="preserve">       Obrigações Patronais</t>
  </si>
  <si>
    <t xml:space="preserve">       Aposentadorias, Reserva e reformas</t>
  </si>
  <si>
    <t xml:space="preserve">       Pensões</t>
  </si>
  <si>
    <t xml:space="preserve">    Outras despesas de pessoal decorrentes de contratos de terceirização (§ 1º do art. 18 da LRF)</t>
  </si>
  <si>
    <t>DESPESAS NÃO COMPUTADAS (§ 1º do art. 19 da LRF) (II)</t>
  </si>
  <si>
    <t xml:space="preserve">Decorrentes de Decisão Judicial 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</si>
  <si>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</si>
  <si>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</si>
  <si>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</si>
  <si>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</si>
  <si>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 xml:space="preserve">                 JOÃO PAULO NASCENTES</t>
  </si>
  <si>
    <t>CARLO CAIADO</t>
  </si>
  <si>
    <t>1º Vice-Presidente</t>
  </si>
  <si>
    <t>RAFAEL ALOISIO FREITAS</t>
  </si>
  <si>
    <t>MARCOS BRAZ</t>
  </si>
  <si>
    <t xml:space="preserve">   2º Secretário</t>
  </si>
  <si>
    <t>ANTONIO CESAR LINS CAVALCANTI</t>
  </si>
  <si>
    <t xml:space="preserve">    Despesa com Pessoal não executada Orçamentariamente</t>
  </si>
  <si>
    <t>Set/2022</t>
  </si>
  <si>
    <t>Out/2022</t>
  </si>
  <si>
    <t>Nov/2022</t>
  </si>
  <si>
    <t>Dez/2022</t>
  </si>
  <si>
    <t>Jan/2023</t>
  </si>
  <si>
    <t>Fev/2023</t>
  </si>
  <si>
    <t>Mar/2023</t>
  </si>
  <si>
    <t>Abr/2023</t>
  </si>
  <si>
    <r>
      <t>(-) Transferências obrigatórias da União relativas às emendas individuais (V)  (</t>
    </r>
    <r>
      <rPr>
        <sz val="8"/>
        <rFont val="Calibri"/>
        <family val="2"/>
      </rPr>
      <t>§ 13, art. 166 da CF)  (V)</t>
    </r>
  </si>
  <si>
    <t>(-) Transferências obrigatórias da União relativas às emendas individuais (V)  (§ 16, art. 166 da CF)  (VI)</t>
  </si>
  <si>
    <t xml:space="preserve">                    Diretor de Finanças</t>
  </si>
  <si>
    <t>WILLIAN COELHO</t>
  </si>
  <si>
    <t>SETEMBRO-2022/AGOSTO-2023</t>
  </si>
  <si>
    <t>Maio/2023</t>
  </si>
  <si>
    <t>Jun/2023</t>
  </si>
  <si>
    <t>Jul/2023</t>
  </si>
  <si>
    <t>Ago/2023</t>
  </si>
</sst>
</file>

<file path=xl/styles.xml><?xml version="1.0" encoding="utf-8"?>
<styleSheet xmlns="http://schemas.openxmlformats.org/spreadsheetml/2006/main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_);[Red]\(&quot;R$ &quot;#,##0.00\)"/>
    <numFmt numFmtId="165" formatCode="0.000"/>
    <numFmt numFmtId="166" formatCode="_(* #,##0.00_);_(* \(#,##0.00\);_(* &quot;-&quot;??_);_(@_)"/>
    <numFmt numFmtId="167" formatCode="_([$€]* #,##0.00_);_([$€]* \(#,##0.00\);_([$€]* &quot;-&quot;??_);_(@_)"/>
    <numFmt numFmtId="168" formatCode="_-* #,##0.0000_-;\-* #,##0.0000_-;_-* &quot;-&quot;??_-;_-@_-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22222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1"/>
    <xf numFmtId="4" fontId="6" fillId="0" borderId="6" xfId="1" applyNumberFormat="1" applyFont="1" applyBorder="1"/>
    <xf numFmtId="4" fontId="6" fillId="0" borderId="15" xfId="1" applyNumberFormat="1" applyFont="1" applyBorder="1"/>
    <xf numFmtId="0" fontId="6" fillId="0" borderId="0" xfId="0" applyNumberFormat="1" applyFont="1" applyFill="1" applyBorder="1" applyAlignment="1"/>
    <xf numFmtId="43" fontId="0" fillId="0" borderId="0" xfId="4" applyFont="1"/>
    <xf numFmtId="0" fontId="5" fillId="0" borderId="0" xfId="0" applyNumberFormat="1" applyFont="1" applyFill="1" applyAlignment="1"/>
    <xf numFmtId="0" fontId="7" fillId="0" borderId="0" xfId="0" applyNumberFormat="1" applyFont="1" applyFill="1" applyAlignment="1"/>
    <xf numFmtId="0" fontId="6" fillId="0" borderId="0" xfId="0" applyNumberFormat="1" applyFont="1" applyFill="1" applyAlignment="1"/>
    <xf numFmtId="164" fontId="6" fillId="0" borderId="0" xfId="0" applyNumberFormat="1" applyFont="1" applyFill="1" applyAlignment="1">
      <alignment horizontal="right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5" xfId="0" applyNumberFormat="1" applyFont="1" applyFill="1" applyBorder="1" applyAlignment="1"/>
    <xf numFmtId="4" fontId="6" fillId="0" borderId="15" xfId="1" applyNumberFormat="1" applyFont="1" applyBorder="1" applyAlignment="1">
      <alignment horizontal="right"/>
    </xf>
    <xf numFmtId="43" fontId="0" fillId="0" borderId="0" xfId="4" applyFont="1" applyBorder="1"/>
    <xf numFmtId="0" fontId="6" fillId="0" borderId="15" xfId="0" applyNumberFormat="1" applyFont="1" applyFill="1" applyBorder="1" applyAlignment="1">
      <alignment horizontal="left"/>
    </xf>
    <xf numFmtId="0" fontId="6" fillId="0" borderId="13" xfId="0" applyNumberFormat="1" applyFont="1" applyFill="1" applyBorder="1" applyAlignment="1"/>
    <xf numFmtId="0" fontId="6" fillId="0" borderId="15" xfId="0" applyNumberFormat="1" applyFont="1" applyFill="1" applyBorder="1" applyAlignment="1"/>
    <xf numFmtId="0" fontId="6" fillId="0" borderId="15" xfId="0" applyNumberFormat="1" applyFont="1" applyFill="1" applyBorder="1" applyAlignment="1">
      <alignment horizontal="left" indent="1"/>
    </xf>
    <xf numFmtId="43" fontId="0" fillId="0" borderId="0" xfId="4" applyFont="1" applyFill="1"/>
    <xf numFmtId="0" fontId="0" fillId="0" borderId="0" xfId="0" applyFill="1"/>
    <xf numFmtId="0" fontId="6" fillId="0" borderId="7" xfId="0" applyNumberFormat="1" applyFont="1" applyFill="1" applyBorder="1" applyAlignment="1">
      <alignment horizontal="left" indent="1"/>
    </xf>
    <xf numFmtId="0" fontId="6" fillId="0" borderId="8" xfId="0" applyNumberFormat="1" applyFont="1" applyFill="1" applyBorder="1" applyAlignment="1"/>
    <xf numFmtId="0" fontId="6" fillId="0" borderId="9" xfId="0" applyNumberFormat="1" applyFont="1" applyFill="1" applyBorder="1" applyAlignment="1"/>
    <xf numFmtId="0" fontId="6" fillId="0" borderId="10" xfId="0" applyNumberFormat="1" applyFont="1" applyFill="1" applyBorder="1" applyAlignment="1"/>
    <xf numFmtId="0" fontId="6" fillId="0" borderId="11" xfId="0" applyNumberFormat="1" applyFont="1" applyFill="1" applyBorder="1" applyAlignment="1"/>
    <xf numFmtId="0" fontId="6" fillId="0" borderId="12" xfId="0" applyNumberFormat="1" applyFont="1" applyFill="1" applyBorder="1" applyAlignment="1"/>
    <xf numFmtId="43" fontId="0" fillId="0" borderId="0" xfId="4" applyFont="1" applyFill="1" applyBorder="1"/>
    <xf numFmtId="0" fontId="11" fillId="0" borderId="11" xfId="0" applyNumberFormat="1" applyFont="1" applyFill="1" applyBorder="1" applyAlignment="1"/>
    <xf numFmtId="4" fontId="13" fillId="0" borderId="0" xfId="0" applyNumberFormat="1" applyFont="1"/>
    <xf numFmtId="165" fontId="6" fillId="0" borderId="0" xfId="0" applyNumberFormat="1" applyFont="1" applyFill="1" applyBorder="1" applyAlignment="1"/>
    <xf numFmtId="43" fontId="3" fillId="0" borderId="0" xfId="4" applyFont="1" applyBorder="1"/>
    <xf numFmtId="0" fontId="0" fillId="0" borderId="0" xfId="0" applyAlignment="1"/>
    <xf numFmtId="0" fontId="3" fillId="0" borderId="0" xfId="0" applyFont="1" applyAlignment="1"/>
    <xf numFmtId="43" fontId="0" fillId="0" borderId="0" xfId="0" applyNumberFormat="1" applyFill="1"/>
    <xf numFmtId="0" fontId="3" fillId="0" borderId="0" xfId="0" applyFont="1" applyFill="1"/>
    <xf numFmtId="0" fontId="7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43" fontId="6" fillId="0" borderId="15" xfId="13" applyFont="1" applyBorder="1"/>
    <xf numFmtId="43" fontId="6" fillId="3" borderId="6" xfId="13" applyFont="1" applyFill="1" applyBorder="1"/>
    <xf numFmtId="4" fontId="6" fillId="3" borderId="6" xfId="1" applyNumberFormat="1" applyFont="1" applyFill="1" applyBorder="1"/>
    <xf numFmtId="43" fontId="6" fillId="0" borderId="11" xfId="0" applyNumberFormat="1" applyFont="1" applyFill="1" applyBorder="1" applyAlignment="1"/>
    <xf numFmtId="4" fontId="0" fillId="0" borderId="0" xfId="0" applyNumberFormat="1"/>
    <xf numFmtId="43" fontId="6" fillId="0" borderId="15" xfId="13" applyFont="1" applyFill="1" applyBorder="1"/>
    <xf numFmtId="43" fontId="6" fillId="0" borderId="6" xfId="13" applyFont="1" applyFill="1" applyBorder="1"/>
    <xf numFmtId="4" fontId="6" fillId="0" borderId="15" xfId="1" applyNumberFormat="1" applyFont="1" applyFill="1" applyBorder="1" applyAlignment="1">
      <alignment horizontal="right"/>
    </xf>
    <xf numFmtId="4" fontId="6" fillId="0" borderId="15" xfId="1" applyNumberFormat="1" applyFont="1" applyFill="1" applyBorder="1"/>
    <xf numFmtId="4" fontId="6" fillId="0" borderId="6" xfId="1" applyNumberFormat="1" applyFont="1" applyFill="1" applyBorder="1"/>
    <xf numFmtId="4" fontId="6" fillId="0" borderId="2" xfId="1" applyNumberFormat="1" applyFont="1" applyFill="1" applyBorder="1"/>
    <xf numFmtId="0" fontId="0" fillId="0" borderId="0" xfId="0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43" fontId="6" fillId="0" borderId="0" xfId="13" applyFont="1" applyFill="1" applyAlignment="1"/>
    <xf numFmtId="43" fontId="15" fillId="0" borderId="0" xfId="13" applyFont="1" applyAlignment="1">
      <alignment horizontal="right"/>
    </xf>
    <xf numFmtId="43" fontId="6" fillId="0" borderId="15" xfId="13" applyFont="1" applyBorder="1" applyAlignment="1">
      <alignment horizontal="right"/>
    </xf>
    <xf numFmtId="43" fontId="6" fillId="0" borderId="6" xfId="13" applyFont="1" applyBorder="1"/>
    <xf numFmtId="43" fontId="6" fillId="0" borderId="15" xfId="13" applyFont="1" applyFill="1" applyBorder="1" applyAlignment="1">
      <alignment horizontal="right"/>
    </xf>
    <xf numFmtId="43" fontId="10" fillId="0" borderId="6" xfId="13" applyFont="1" applyBorder="1" applyAlignment="1">
      <alignment horizontal="right"/>
    </xf>
    <xf numFmtId="2" fontId="6" fillId="0" borderId="15" xfId="13" applyNumberFormat="1" applyFont="1" applyBorder="1" applyAlignment="1">
      <alignment horizontal="right"/>
    </xf>
    <xf numFmtId="43" fontId="6" fillId="0" borderId="14" xfId="13" applyFont="1" applyBorder="1" applyAlignment="1">
      <alignment horizontal="right"/>
    </xf>
    <xf numFmtId="43" fontId="10" fillId="0" borderId="1" xfId="13" applyFont="1" applyFill="1" applyBorder="1" applyAlignment="1"/>
    <xf numFmtId="168" fontId="0" fillId="0" borderId="0" xfId="4" applyNumberFormat="1" applyFont="1" applyFill="1"/>
    <xf numFmtId="49" fontId="7" fillId="2" borderId="6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6" fillId="0" borderId="10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0" fontId="6" fillId="0" borderId="12" xfId="1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>
      <alignment horizontal="left"/>
    </xf>
    <xf numFmtId="0" fontId="6" fillId="0" borderId="12" xfId="0" applyNumberFormat="1" applyFont="1" applyFill="1" applyBorder="1" applyAlignment="1">
      <alignment horizontal="left"/>
    </xf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2" xfId="0" applyNumberFormat="1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left" wrapText="1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1" fillId="0" borderId="10" xfId="13" applyFont="1" applyFill="1" applyBorder="1" applyAlignment="1">
      <alignment horizontal="right"/>
    </xf>
    <xf numFmtId="43" fontId="11" fillId="0" borderId="11" xfId="13" applyFont="1" applyFill="1" applyBorder="1" applyAlignment="1">
      <alignment horizontal="right"/>
    </xf>
    <xf numFmtId="43" fontId="11" fillId="0" borderId="12" xfId="13" applyFont="1" applyFill="1" applyBorder="1" applyAlignment="1">
      <alignment horizontal="right"/>
    </xf>
    <xf numFmtId="43" fontId="11" fillId="0" borderId="10" xfId="13" applyFont="1" applyFill="1" applyBorder="1" applyAlignment="1">
      <alignment horizontal="center"/>
    </xf>
    <xf numFmtId="43" fontId="11" fillId="0" borderId="11" xfId="13" applyFont="1" applyFill="1" applyBorder="1" applyAlignment="1">
      <alignment horizontal="center"/>
    </xf>
    <xf numFmtId="43" fontId="11" fillId="0" borderId="12" xfId="13" applyFont="1" applyFill="1" applyBorder="1" applyAlignment="1">
      <alignment horizontal="center"/>
    </xf>
    <xf numFmtId="10" fontId="6" fillId="0" borderId="10" xfId="5" applyNumberFormat="1" applyFont="1" applyFill="1" applyBorder="1" applyAlignment="1">
      <alignment horizontal="center"/>
    </xf>
    <xf numFmtId="10" fontId="6" fillId="0" borderId="11" xfId="5" applyNumberFormat="1" applyFont="1" applyFill="1" applyBorder="1" applyAlignment="1">
      <alignment horizontal="center"/>
    </xf>
    <xf numFmtId="10" fontId="6" fillId="0" borderId="12" xfId="5" applyNumberFormat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left"/>
    </xf>
    <xf numFmtId="49" fontId="6" fillId="0" borderId="11" xfId="1" applyNumberFormat="1" applyFont="1" applyFill="1" applyBorder="1" applyAlignment="1">
      <alignment horizontal="left"/>
    </xf>
    <xf numFmtId="49" fontId="6" fillId="0" borderId="12" xfId="1" applyNumberFormat="1" applyFont="1" applyFill="1" applyBorder="1" applyAlignment="1">
      <alignment horizontal="left"/>
    </xf>
    <xf numFmtId="0" fontId="6" fillId="2" borderId="10" xfId="0" applyNumberFormat="1" applyFont="1" applyFill="1" applyBorder="1" applyAlignment="1">
      <alignment horizontal="left"/>
    </xf>
    <xf numFmtId="0" fontId="6" fillId="2" borderId="11" xfId="0" applyNumberFormat="1" applyFont="1" applyFill="1" applyBorder="1" applyAlignment="1">
      <alignment horizontal="left"/>
    </xf>
    <xf numFmtId="0" fontId="6" fillId="2" borderId="12" xfId="0" applyNumberFormat="1" applyFont="1" applyFill="1" applyBorder="1" applyAlignment="1">
      <alignment horizontal="left"/>
    </xf>
    <xf numFmtId="43" fontId="11" fillId="2" borderId="10" xfId="13" applyFont="1" applyFill="1" applyBorder="1" applyAlignment="1">
      <alignment horizontal="right"/>
    </xf>
    <xf numFmtId="43" fontId="11" fillId="2" borderId="11" xfId="13" applyFont="1" applyFill="1" applyBorder="1" applyAlignment="1">
      <alignment horizontal="right"/>
    </xf>
    <xf numFmtId="43" fontId="11" fillId="2" borderId="12" xfId="13" applyFont="1" applyFill="1" applyBorder="1" applyAlignment="1">
      <alignment horizontal="right"/>
    </xf>
    <xf numFmtId="10" fontId="6" fillId="2" borderId="10" xfId="5" applyNumberFormat="1" applyFont="1" applyFill="1" applyBorder="1" applyAlignment="1">
      <alignment horizontal="center"/>
    </xf>
    <xf numFmtId="10" fontId="6" fillId="2" borderId="11" xfId="5" applyNumberFormat="1" applyFont="1" applyFill="1" applyBorder="1" applyAlignment="1">
      <alignment horizontal="center"/>
    </xf>
    <xf numFmtId="10" fontId="6" fillId="2" borderId="12" xfId="5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12" fillId="2" borderId="12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4">
    <cellStyle name="Euro" xfId="8"/>
    <cellStyle name="Moeda 2" xfId="12"/>
    <cellStyle name="Moeda 3" xfId="7"/>
    <cellStyle name="Normal" xfId="0" builtinId="0"/>
    <cellStyle name="Normal 2" xfId="1"/>
    <cellStyle name="Normal 3" xfId="2"/>
    <cellStyle name="Normal 3 2" xfId="3"/>
    <cellStyle name="Normal 4" xfId="6"/>
    <cellStyle name="Porcentagem" xfId="5" builtinId="5"/>
    <cellStyle name="Porcentagem 2" xfId="9"/>
    <cellStyle name="Separador de milhares" xfId="4" builtinId="3"/>
    <cellStyle name="Separador de milhares 2" xfId="11"/>
    <cellStyle name="Separador de milhares 3" xfId="10"/>
    <cellStyle name="Separador de milhares 4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4"/>
  <sheetViews>
    <sheetView tabSelected="1" zoomScale="85" zoomScaleNormal="85" workbookViewId="0">
      <selection activeCell="S2" sqref="S2"/>
    </sheetView>
  </sheetViews>
  <sheetFormatPr defaultRowHeight="12.75"/>
  <cols>
    <col min="1" max="1" width="47.7109375" customWidth="1"/>
    <col min="3" max="3" width="26.28515625" customWidth="1"/>
    <col min="4" max="4" width="9.140625" hidden="1" customWidth="1"/>
    <col min="5" max="5" width="8.28515625" hidden="1" customWidth="1"/>
    <col min="6" max="6" width="14.85546875" customWidth="1"/>
    <col min="7" max="7" width="13.85546875" customWidth="1"/>
    <col min="8" max="8" width="15.5703125" customWidth="1"/>
    <col min="9" max="9" width="14" customWidth="1"/>
    <col min="10" max="10" width="14.7109375" customWidth="1"/>
    <col min="11" max="11" width="14.85546875" customWidth="1"/>
    <col min="12" max="12" width="14.7109375" customWidth="1"/>
    <col min="13" max="13" width="14.5703125" customWidth="1"/>
    <col min="14" max="14" width="14.85546875" customWidth="1"/>
    <col min="15" max="15" width="14.5703125" customWidth="1"/>
    <col min="16" max="16" width="15.28515625" customWidth="1"/>
    <col min="17" max="17" width="15.140625" customWidth="1"/>
    <col min="18" max="18" width="15.5703125" customWidth="1"/>
    <col min="19" max="19" width="15" customWidth="1"/>
    <col min="20" max="20" width="17.7109375" style="5" bestFit="1" customWidth="1"/>
    <col min="22" max="22" width="21.42578125" customWidth="1"/>
    <col min="24" max="24" width="14" bestFit="1" customWidth="1"/>
  </cols>
  <sheetData>
    <row r="1" spans="1:19" ht="15.75" customHeight="1"/>
    <row r="3" spans="1:19" ht="11.25" customHeight="1"/>
    <row r="4" spans="1:19" ht="11.25" customHeight="1"/>
    <row r="5" spans="1:19" ht="11.25" customHeight="1"/>
    <row r="6" spans="1:19" ht="11.25" customHeight="1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  <c r="S6" s="8"/>
    </row>
    <row r="7" spans="1:19" ht="11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8"/>
    </row>
    <row r="8" spans="1:19" ht="11.25" customHeight="1">
      <c r="A8" s="119" t="s">
        <v>38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</row>
    <row r="9" spans="1:19" ht="11.25" customHeight="1">
      <c r="A9" s="119" t="s">
        <v>28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</row>
    <row r="10" spans="1:19" ht="11.25" customHeight="1">
      <c r="A10" s="119" t="s">
        <v>0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</row>
    <row r="11" spans="1:19" ht="11.25" customHeight="1">
      <c r="A11" s="120" t="s">
        <v>41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</row>
    <row r="12" spans="1:19" ht="11.25" customHeight="1">
      <c r="A12" s="119" t="s">
        <v>42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</row>
    <row r="13" spans="1:19" ht="11.25" customHeight="1">
      <c r="A13" s="119" t="s">
        <v>74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</row>
    <row r="14" spans="1:19" ht="11.25" customHeight="1">
      <c r="A14" s="8"/>
      <c r="B14" s="8"/>
      <c r="C14" s="8"/>
      <c r="D14" s="8"/>
      <c r="E14" s="8"/>
      <c r="F14" s="64"/>
      <c r="G14" s="64"/>
      <c r="H14" s="64"/>
      <c r="I14" s="64"/>
      <c r="J14" s="64"/>
      <c r="K14" s="64"/>
      <c r="L14" s="64"/>
      <c r="M14" s="64"/>
      <c r="N14" s="65"/>
      <c r="O14" s="65"/>
      <c r="P14" s="65"/>
      <c r="Q14" s="65"/>
      <c r="R14" s="8"/>
      <c r="S14" s="8"/>
    </row>
    <row r="15" spans="1:19">
      <c r="A15" s="8" t="s">
        <v>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>
        <v>1</v>
      </c>
    </row>
    <row r="16" spans="1:19">
      <c r="A16" s="10"/>
      <c r="B16" s="11"/>
      <c r="C16" s="11"/>
      <c r="D16" s="11"/>
      <c r="E16" s="12"/>
      <c r="F16" s="121" t="s">
        <v>3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3"/>
    </row>
    <row r="17" spans="1:22">
      <c r="A17" s="63"/>
      <c r="B17" s="13"/>
      <c r="C17" s="13"/>
      <c r="D17" s="13"/>
      <c r="E17" s="14"/>
      <c r="F17" s="124" t="s">
        <v>4</v>
      </c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6"/>
    </row>
    <row r="18" spans="1:22">
      <c r="A18" s="127" t="s">
        <v>2</v>
      </c>
      <c r="B18" s="128"/>
      <c r="C18" s="128"/>
      <c r="D18" s="128"/>
      <c r="E18" s="129"/>
      <c r="F18" s="113" t="s">
        <v>5</v>
      </c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5"/>
      <c r="S18" s="15" t="s">
        <v>6</v>
      </c>
    </row>
    <row r="19" spans="1:22">
      <c r="A19" s="63"/>
      <c r="B19" s="13"/>
      <c r="C19" s="13"/>
      <c r="D19" s="13"/>
      <c r="E19" s="14"/>
      <c r="F19" s="16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 t="s">
        <v>7</v>
      </c>
      <c r="S19" s="15" t="s">
        <v>8</v>
      </c>
    </row>
    <row r="20" spans="1:22">
      <c r="A20" s="63"/>
      <c r="B20" s="13"/>
      <c r="C20" s="13"/>
      <c r="D20" s="13"/>
      <c r="E20" s="14"/>
      <c r="F20" s="74" t="s">
        <v>62</v>
      </c>
      <c r="G20" s="17" t="s">
        <v>63</v>
      </c>
      <c r="H20" s="17" t="s">
        <v>64</v>
      </c>
      <c r="I20" s="17" t="s">
        <v>65</v>
      </c>
      <c r="J20" s="17" t="s">
        <v>66</v>
      </c>
      <c r="K20" s="17" t="s">
        <v>67</v>
      </c>
      <c r="L20" s="17" t="s">
        <v>68</v>
      </c>
      <c r="M20" s="17" t="s">
        <v>69</v>
      </c>
      <c r="N20" s="17" t="s">
        <v>75</v>
      </c>
      <c r="O20" s="17" t="s">
        <v>76</v>
      </c>
      <c r="P20" s="17" t="s">
        <v>77</v>
      </c>
      <c r="Q20" s="17" t="s">
        <v>78</v>
      </c>
      <c r="R20" s="15" t="s">
        <v>9</v>
      </c>
      <c r="S20" s="15" t="s">
        <v>10</v>
      </c>
    </row>
    <row r="21" spans="1:22">
      <c r="A21" s="127"/>
      <c r="B21" s="128"/>
      <c r="C21" s="128"/>
      <c r="D21" s="128"/>
      <c r="E21" s="129"/>
      <c r="F21" s="7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8" t="s">
        <v>11</v>
      </c>
      <c r="S21" s="18" t="s">
        <v>12</v>
      </c>
    </row>
    <row r="22" spans="1:22">
      <c r="A22" s="19"/>
      <c r="B22" s="20"/>
      <c r="C22" s="20"/>
      <c r="D22" s="20"/>
      <c r="E22" s="21"/>
      <c r="F22" s="7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 t="s">
        <v>13</v>
      </c>
      <c r="S22" s="22" t="s">
        <v>14</v>
      </c>
    </row>
    <row r="23" spans="1:22">
      <c r="A23" s="23" t="s">
        <v>15</v>
      </c>
      <c r="B23" s="24"/>
      <c r="C23" s="24"/>
      <c r="D23" s="24"/>
      <c r="E23" s="25"/>
      <c r="F23" s="2">
        <f>F24+F27+F30+F31</f>
        <v>68282964.269999996</v>
      </c>
      <c r="G23" s="2">
        <f t="shared" ref="G23:I23" si="0">G24+G27+G30+G31</f>
        <v>67275985.549999997</v>
      </c>
      <c r="H23" s="2">
        <f t="shared" si="0"/>
        <v>85462962.349999994</v>
      </c>
      <c r="I23" s="2">
        <f t="shared" si="0"/>
        <v>90778104.679999992</v>
      </c>
      <c r="J23" s="2">
        <f>J24+J27+J30+J31</f>
        <v>75094436.349999994</v>
      </c>
      <c r="K23" s="2">
        <f t="shared" ref="K23:M23" si="1">K24+K27+K30+K31</f>
        <v>62464801.150000006</v>
      </c>
      <c r="L23" s="2">
        <f t="shared" si="1"/>
        <v>72170569.679999992</v>
      </c>
      <c r="M23" s="2">
        <f t="shared" si="1"/>
        <v>72081164.75</v>
      </c>
      <c r="N23" s="2">
        <f>N24+N27+N30+N31</f>
        <v>72127490.330000013</v>
      </c>
      <c r="O23" s="2">
        <f t="shared" ref="O23:Q23" si="2">O24+O27+O30+O31</f>
        <v>103147000.03999999</v>
      </c>
      <c r="P23" s="2">
        <f t="shared" si="2"/>
        <v>71793163.150000006</v>
      </c>
      <c r="Q23" s="2">
        <f t="shared" si="2"/>
        <v>71082570.060000002</v>
      </c>
      <c r="R23" s="2">
        <f>R24+R27+R30</f>
        <v>911761212.36000013</v>
      </c>
      <c r="S23" s="61">
        <f>S24+S27+S30+S31</f>
        <v>7044070.7100000009</v>
      </c>
      <c r="T23" s="27"/>
      <c r="V23" s="5"/>
    </row>
    <row r="24" spans="1:22">
      <c r="A24" s="49" t="s">
        <v>16</v>
      </c>
      <c r="B24" s="4"/>
      <c r="C24" s="4"/>
      <c r="D24" s="4"/>
      <c r="E24" s="29"/>
      <c r="F24" s="2">
        <f>SUM(F25:F26)</f>
        <v>45053753.460000001</v>
      </c>
      <c r="G24" s="2">
        <f t="shared" ref="G24:I24" si="3">SUM(G25:G26)</f>
        <v>43984830.68</v>
      </c>
      <c r="H24" s="2">
        <f t="shared" si="3"/>
        <v>62324698.920000002</v>
      </c>
      <c r="I24" s="2">
        <f t="shared" si="3"/>
        <v>55346820.689999998</v>
      </c>
      <c r="J24" s="2">
        <f>SUM(J25:J26)</f>
        <v>51016075.840000004</v>
      </c>
      <c r="K24" s="2">
        <f t="shared" ref="K24:M24" si="4">SUM(K25:K26)</f>
        <v>38305006.970000006</v>
      </c>
      <c r="L24" s="2">
        <f t="shared" si="4"/>
        <v>46938648.269999996</v>
      </c>
      <c r="M24" s="2">
        <f t="shared" si="4"/>
        <v>47680551.109999992</v>
      </c>
      <c r="N24" s="2">
        <f>SUM(N25:N26)</f>
        <v>47348323.440000005</v>
      </c>
      <c r="O24" s="2">
        <f t="shared" ref="O24:Q24" si="5">SUM(O25:O26)</f>
        <v>66046455.82</v>
      </c>
      <c r="P24" s="2">
        <f t="shared" si="5"/>
        <v>47087494.020000011</v>
      </c>
      <c r="Q24" s="2">
        <f t="shared" si="5"/>
        <v>46417735.920000002</v>
      </c>
      <c r="R24" s="2">
        <f>SUM(R25:R26)</f>
        <v>597550395.1400001</v>
      </c>
      <c r="S24" s="60">
        <f>SUM(S25:S26)</f>
        <v>7044070.7100000009</v>
      </c>
      <c r="V24" s="5"/>
    </row>
    <row r="25" spans="1:22">
      <c r="A25" s="28" t="s">
        <v>43</v>
      </c>
      <c r="B25" s="4"/>
      <c r="C25" s="4"/>
      <c r="D25" s="4"/>
      <c r="E25" s="29"/>
      <c r="F25" s="66">
        <f>25970448.43+6170173.17+875620.73+184526.03+345401.88</f>
        <v>33546170.240000002</v>
      </c>
      <c r="G25" s="26">
        <f>25611019.66+6066230.88+139815.61+749607.56</f>
        <v>32566673.709999997</v>
      </c>
      <c r="H25" s="51">
        <f>44630208.75+6247903.03+35469.74+30748.76</f>
        <v>50944330.280000001</v>
      </c>
      <c r="I25" s="67">
        <f>29361762.85+6534940.94+16423.9+22229.23+331342.35</f>
        <v>36266699.269999996</v>
      </c>
      <c r="J25" s="66">
        <f>27134613.41+6377762.83+770098.17</f>
        <v>34282474.410000004</v>
      </c>
      <c r="K25" s="26">
        <f>27162750.71+6228874.49+1064011.02+47166.14</f>
        <v>34502802.360000007</v>
      </c>
      <c r="L25" s="51">
        <f>27431755.06+6801565.19+443166.74+110152.29+74446.73</f>
        <v>34861086.009999998</v>
      </c>
      <c r="M25" s="67">
        <f>27456775.81+6526675.74+571294.61+242010.05+725123.41</f>
        <v>35521879.61999999</v>
      </c>
      <c r="N25" s="66">
        <f>27181520.12+6654633.6+782331.74+127529.1+408109.52</f>
        <v>35154124.080000006</v>
      </c>
      <c r="O25" s="26">
        <f>46108174.02+6449135.13+474802.62+133839.98+790917.54</f>
        <v>53956869.289999999</v>
      </c>
      <c r="P25" s="51">
        <f>28385746.78+5837144.74+50998.14+535001.63+116086.42</f>
        <v>34924977.710000008</v>
      </c>
      <c r="Q25" s="67">
        <f>26780462.54+6512289.04+84213.18+58370.22+941081.45</f>
        <v>34376416.43</v>
      </c>
      <c r="R25" s="3">
        <f>SUM(F25:Q25)</f>
        <v>450904503.41000003</v>
      </c>
      <c r="S25" s="60">
        <f>1259255.62+288231.48+311066.65+198549.32</f>
        <v>2057103.07</v>
      </c>
      <c r="T25" s="55"/>
      <c r="V25" s="5"/>
    </row>
    <row r="26" spans="1:22" s="33" customFormat="1">
      <c r="A26" s="28" t="s">
        <v>44</v>
      </c>
      <c r="B26" s="4"/>
      <c r="C26" s="4"/>
      <c r="D26" s="4"/>
      <c r="E26" s="29"/>
      <c r="F26" s="68">
        <f>3583270.37+7924312.85</f>
        <v>11507583.219999999</v>
      </c>
      <c r="G26" s="58">
        <f>3491834.4+7926322.57</f>
        <v>11418156.970000001</v>
      </c>
      <c r="H26" s="56">
        <f>3441230.12+7939138.52</f>
        <v>11380368.640000001</v>
      </c>
      <c r="I26" s="57">
        <f>6713623.18+12366498.24</f>
        <v>19080121.420000002</v>
      </c>
      <c r="J26" s="68">
        <v>16733601.43</v>
      </c>
      <c r="K26" s="58">
        <f>3802204.61</f>
        <v>3802204.61</v>
      </c>
      <c r="L26" s="56">
        <f>3717159.14+8360403.12</f>
        <v>12077562.26</v>
      </c>
      <c r="M26" s="57">
        <f>3818149.66+8340521.83</f>
        <v>12158671.49</v>
      </c>
      <c r="N26" s="68">
        <f>3873112.35+8321087.01</f>
        <v>12194199.359999999</v>
      </c>
      <c r="O26" s="58">
        <f>3869798.16+8219788.37</f>
        <v>12089586.530000001</v>
      </c>
      <c r="P26" s="56">
        <f>3833059.02+8329457.29</f>
        <v>12162516.310000001</v>
      </c>
      <c r="Q26" s="57">
        <f>3814851.43+8226468.06</f>
        <v>12041319.49</v>
      </c>
      <c r="R26" s="59">
        <f>SUM(F26:Q26)</f>
        <v>146645891.73000002</v>
      </c>
      <c r="S26" s="60">
        <f>4650146.66+370000-33175.67-3.35</f>
        <v>4986967.6400000006</v>
      </c>
      <c r="T26" s="32"/>
      <c r="V26" s="32"/>
    </row>
    <row r="27" spans="1:22">
      <c r="A27" s="49" t="s">
        <v>17</v>
      </c>
      <c r="B27" s="4"/>
      <c r="C27" s="4"/>
      <c r="D27" s="4"/>
      <c r="E27" s="29"/>
      <c r="F27" s="52">
        <f>SUM(F28:F29)</f>
        <v>23229210.809999999</v>
      </c>
      <c r="G27" s="52">
        <f t="shared" ref="G27:I27" si="6">SUM(G28:G29)</f>
        <v>23291154.869999997</v>
      </c>
      <c r="H27" s="52">
        <f t="shared" si="6"/>
        <v>23138263.43</v>
      </c>
      <c r="I27" s="52">
        <f t="shared" si="6"/>
        <v>35431283.989999995</v>
      </c>
      <c r="J27" s="52">
        <f>SUM(J28:J29)</f>
        <v>24078360.509999998</v>
      </c>
      <c r="K27" s="52">
        <f t="shared" ref="K27:M27" si="7">SUM(K28:K29)</f>
        <v>24159794.18</v>
      </c>
      <c r="L27" s="52">
        <f t="shared" si="7"/>
        <v>25231921.41</v>
      </c>
      <c r="M27" s="52">
        <f t="shared" si="7"/>
        <v>24400613.640000001</v>
      </c>
      <c r="N27" s="52">
        <f>SUM(N28:N29)</f>
        <v>24779166.890000001</v>
      </c>
      <c r="O27" s="52">
        <f t="shared" ref="O27:Q27" si="8">SUM(O28:O29)</f>
        <v>37100544.219999999</v>
      </c>
      <c r="P27" s="52">
        <f t="shared" si="8"/>
        <v>24705669.129999999</v>
      </c>
      <c r="Q27" s="52">
        <f t="shared" si="8"/>
        <v>24664834.140000001</v>
      </c>
      <c r="R27" s="3">
        <f t="shared" ref="R27:R34" si="9">SUM(F27:Q27)</f>
        <v>314210817.21999997</v>
      </c>
      <c r="S27" s="60">
        <f t="shared" ref="S27" si="10">SUM(S28:S29)</f>
        <v>0</v>
      </c>
      <c r="V27" s="5"/>
    </row>
    <row r="28" spans="1:22">
      <c r="A28" s="28" t="s">
        <v>45</v>
      </c>
      <c r="B28" s="4"/>
      <c r="C28" s="4"/>
      <c r="D28" s="4"/>
      <c r="E28" s="29"/>
      <c r="F28" s="52">
        <v>17964523.609999999</v>
      </c>
      <c r="G28" s="58">
        <v>18052899.739999998</v>
      </c>
      <c r="H28" s="56">
        <v>17977258.620000001</v>
      </c>
      <c r="I28" s="57">
        <v>27809185.649999999</v>
      </c>
      <c r="J28" s="69">
        <v>18536102.52</v>
      </c>
      <c r="K28" s="26">
        <v>18806145.07</v>
      </c>
      <c r="L28" s="67">
        <v>19539573.030000001</v>
      </c>
      <c r="M28" s="67">
        <v>19029843.060000002</v>
      </c>
      <c r="N28" s="69">
        <v>19103768.010000002</v>
      </c>
      <c r="O28" s="26">
        <v>28463621.690000001</v>
      </c>
      <c r="P28" s="67">
        <v>19201791.329999998</v>
      </c>
      <c r="Q28" s="67">
        <v>19241244.809999999</v>
      </c>
      <c r="R28" s="3">
        <f>SUM(F28:Q28)</f>
        <v>243725957.13999999</v>
      </c>
      <c r="S28" s="60">
        <v>0</v>
      </c>
      <c r="V28" s="5"/>
    </row>
    <row r="29" spans="1:22">
      <c r="A29" s="28" t="s">
        <v>46</v>
      </c>
      <c r="B29" s="4"/>
      <c r="C29" s="4"/>
      <c r="D29" s="4"/>
      <c r="E29" s="29"/>
      <c r="F29" s="52">
        <v>5264687.2</v>
      </c>
      <c r="G29" s="58">
        <v>5238255.13</v>
      </c>
      <c r="H29" s="56">
        <v>5161004.8099999996</v>
      </c>
      <c r="I29" s="57">
        <v>7622098.3399999999</v>
      </c>
      <c r="J29" s="26">
        <v>5542257.9900000002</v>
      </c>
      <c r="K29" s="26">
        <v>5353649.1100000003</v>
      </c>
      <c r="L29" s="26">
        <v>5692348.3799999999</v>
      </c>
      <c r="M29" s="26">
        <v>5370770.5800000001</v>
      </c>
      <c r="N29" s="26">
        <v>5675398.8799999999</v>
      </c>
      <c r="O29" s="26">
        <v>8636922.5299999993</v>
      </c>
      <c r="P29" s="26">
        <v>5503877.7999999998</v>
      </c>
      <c r="Q29" s="26">
        <v>5423589.3300000001</v>
      </c>
      <c r="R29" s="3">
        <f>SUM(F29:Q29)</f>
        <v>70484860.079999998</v>
      </c>
      <c r="S29" s="60">
        <v>0</v>
      </c>
      <c r="V29" s="5"/>
    </row>
    <row r="30" spans="1:22">
      <c r="A30" s="49" t="s">
        <v>47</v>
      </c>
      <c r="B30" s="50"/>
      <c r="C30" s="50"/>
      <c r="D30" s="4"/>
      <c r="E30" s="29"/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3">
        <f t="shared" si="9"/>
        <v>0</v>
      </c>
      <c r="S30" s="60">
        <v>0</v>
      </c>
      <c r="V30" s="5"/>
    </row>
    <row r="31" spans="1:22">
      <c r="A31" s="49" t="s">
        <v>61</v>
      </c>
      <c r="B31" s="4"/>
      <c r="C31" s="4"/>
      <c r="D31" s="4"/>
      <c r="E31" s="29"/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3">
        <f>SUM(F31:Q31)</f>
        <v>0</v>
      </c>
      <c r="S31" s="60">
        <v>0</v>
      </c>
      <c r="V31" s="5"/>
    </row>
    <row r="32" spans="1:22">
      <c r="A32" s="30" t="s">
        <v>48</v>
      </c>
      <c r="B32" s="4"/>
      <c r="C32" s="4"/>
      <c r="D32" s="4"/>
      <c r="E32" s="29"/>
      <c r="F32" s="53">
        <f>SUM(F33:F36)</f>
        <v>24289357.57</v>
      </c>
      <c r="G32" s="53">
        <f t="shared" ref="G32:I32" si="11">SUM(G33:G36)</f>
        <v>23430970.48</v>
      </c>
      <c r="H32" s="53">
        <f t="shared" si="11"/>
        <v>23169012.190000001</v>
      </c>
      <c r="I32" s="53">
        <f t="shared" si="11"/>
        <v>35469937.120000005</v>
      </c>
      <c r="J32" s="53">
        <f>SUM(J33:J36)</f>
        <v>24848458.680000003</v>
      </c>
      <c r="K32" s="53">
        <f t="shared" ref="K32:M32" si="12">SUM(K33:K36)</f>
        <v>25270971.340000004</v>
      </c>
      <c r="L32" s="53">
        <f t="shared" si="12"/>
        <v>25785240.440000001</v>
      </c>
      <c r="M32" s="53">
        <f t="shared" si="12"/>
        <v>14908507.609999999</v>
      </c>
      <c r="N32" s="53">
        <f>SUM(N33:N36)</f>
        <v>16201205.560000001</v>
      </c>
      <c r="O32" s="53">
        <f t="shared" ref="O32:Q32" si="13">SUM(O33:O36)</f>
        <v>37709186.82</v>
      </c>
      <c r="P32" s="53">
        <f t="shared" si="13"/>
        <v>25291668.899999999</v>
      </c>
      <c r="Q32" s="53">
        <f t="shared" si="13"/>
        <v>15415731.82</v>
      </c>
      <c r="R32" s="3">
        <f>SUM(F32:Q32)</f>
        <v>291790248.52999997</v>
      </c>
      <c r="S32" s="60">
        <f>SUM(S33:S36)</f>
        <v>509615.97000000003</v>
      </c>
      <c r="T32" s="27"/>
      <c r="V32" s="5"/>
    </row>
    <row r="33" spans="1:24">
      <c r="A33" s="31" t="s">
        <v>18</v>
      </c>
      <c r="B33" s="4"/>
      <c r="C33" s="4"/>
      <c r="D33" s="4"/>
      <c r="E33" s="29"/>
      <c r="F33" s="53">
        <f>184526.03</f>
        <v>184526.03</v>
      </c>
      <c r="G33" s="26">
        <v>0</v>
      </c>
      <c r="H33" s="26">
        <v>0</v>
      </c>
      <c r="I33" s="26">
        <v>22229.23</v>
      </c>
      <c r="J33" s="53"/>
      <c r="K33" s="26">
        <v>47166.14</v>
      </c>
      <c r="L33" s="26">
        <v>110152.29</v>
      </c>
      <c r="M33" s="26">
        <v>242010.05</v>
      </c>
      <c r="N33" s="53">
        <f>127529.1</f>
        <v>127529.1</v>
      </c>
      <c r="O33" s="26">
        <v>133839.98000000001</v>
      </c>
      <c r="P33" s="26">
        <v>535001.63</v>
      </c>
      <c r="Q33" s="26">
        <v>58370.22</v>
      </c>
      <c r="R33" s="3">
        <f>SUM(F33:Q33)</f>
        <v>1460824.67</v>
      </c>
      <c r="S33" s="60">
        <v>198549.32</v>
      </c>
      <c r="V33" s="5"/>
    </row>
    <row r="34" spans="1:24" s="33" customFormat="1">
      <c r="A34" s="31" t="s">
        <v>49</v>
      </c>
      <c r="B34" s="4"/>
      <c r="C34" s="4"/>
      <c r="D34" s="4"/>
      <c r="E34" s="29"/>
      <c r="F34" s="70"/>
      <c r="G34" s="26"/>
      <c r="H34" s="26"/>
      <c r="I34" s="26"/>
      <c r="J34" s="70"/>
      <c r="K34" s="26"/>
      <c r="L34" s="26"/>
      <c r="M34" s="26"/>
      <c r="N34" s="70"/>
      <c r="O34" s="26"/>
      <c r="P34" s="26"/>
      <c r="Q34" s="26"/>
      <c r="R34" s="3">
        <f t="shared" si="9"/>
        <v>0</v>
      </c>
      <c r="S34" s="60">
        <v>0</v>
      </c>
      <c r="T34" s="32"/>
      <c r="V34" s="32"/>
    </row>
    <row r="35" spans="1:24" s="33" customFormat="1">
      <c r="A35" s="31" t="s">
        <v>19</v>
      </c>
      <c r="B35" s="4"/>
      <c r="C35" s="4"/>
      <c r="D35" s="4"/>
      <c r="E35" s="29"/>
      <c r="F35" s="53">
        <f>875620.73</f>
        <v>875620.73</v>
      </c>
      <c r="G35" s="26">
        <f>139815.61</f>
        <v>139815.60999999999</v>
      </c>
      <c r="H35" s="26">
        <v>30748.76</v>
      </c>
      <c r="I35" s="26">
        <v>16423.900000000001</v>
      </c>
      <c r="J35" s="53">
        <v>770098.17</v>
      </c>
      <c r="K35" s="26">
        <v>1064011.02</v>
      </c>
      <c r="L35" s="26">
        <v>443166.74</v>
      </c>
      <c r="M35" s="26">
        <f>571294.61</f>
        <v>571294.61</v>
      </c>
      <c r="N35" s="53">
        <f>782331.74</f>
        <v>782331.74</v>
      </c>
      <c r="O35" s="26">
        <v>474802.62</v>
      </c>
      <c r="P35" s="26">
        <v>50998.14</v>
      </c>
      <c r="Q35" s="26">
        <v>84213.18</v>
      </c>
      <c r="R35" s="3">
        <f>SUM(F35:Q35)</f>
        <v>5303525.2199999988</v>
      </c>
      <c r="S35" s="60">
        <v>311066.65000000002</v>
      </c>
      <c r="T35" s="32"/>
    </row>
    <row r="36" spans="1:24" s="33" customFormat="1">
      <c r="A36" s="34" t="s">
        <v>20</v>
      </c>
      <c r="B36" s="35"/>
      <c r="C36" s="35"/>
      <c r="D36" s="35"/>
      <c r="E36" s="36"/>
      <c r="F36" s="53">
        <v>23229210.809999999</v>
      </c>
      <c r="G36" s="26">
        <v>23291154.870000001</v>
      </c>
      <c r="H36" s="26">
        <v>23138263.43</v>
      </c>
      <c r="I36" s="26">
        <v>35431283.990000002</v>
      </c>
      <c r="J36" s="71">
        <v>24078360.510000002</v>
      </c>
      <c r="K36" s="26">
        <v>24159794.180000003</v>
      </c>
      <c r="L36" s="26">
        <v>25231921.41</v>
      </c>
      <c r="M36" s="26">
        <v>14095202.949999999</v>
      </c>
      <c r="N36" s="71">
        <v>15291344.720000001</v>
      </c>
      <c r="O36" s="26">
        <v>37100544.219999999</v>
      </c>
      <c r="P36" s="26">
        <v>24705669.129999999</v>
      </c>
      <c r="Q36" s="26">
        <v>15273148.42</v>
      </c>
      <c r="R36" s="3">
        <f>SUM(F36:Q36)</f>
        <v>285025898.63999999</v>
      </c>
      <c r="S36" s="60">
        <v>0</v>
      </c>
      <c r="T36" s="32"/>
    </row>
    <row r="37" spans="1:24" s="33" customFormat="1">
      <c r="A37" s="37" t="s">
        <v>21</v>
      </c>
      <c r="B37" s="38"/>
      <c r="C37" s="38"/>
      <c r="D37" s="38"/>
      <c r="E37" s="39"/>
      <c r="F37" s="72">
        <f t="shared" ref="F37:M37" si="14">F23-F32</f>
        <v>43993606.699999996</v>
      </c>
      <c r="G37" s="72">
        <f t="shared" si="14"/>
        <v>43845015.069999993</v>
      </c>
      <c r="H37" s="72">
        <f t="shared" si="14"/>
        <v>62293950.159999996</v>
      </c>
      <c r="I37" s="72">
        <f t="shared" si="14"/>
        <v>55308167.559999987</v>
      </c>
      <c r="J37" s="72">
        <f t="shared" si="14"/>
        <v>50245977.669999987</v>
      </c>
      <c r="K37" s="72">
        <f t="shared" si="14"/>
        <v>37193829.810000002</v>
      </c>
      <c r="L37" s="72">
        <f t="shared" si="14"/>
        <v>46385329.239999995</v>
      </c>
      <c r="M37" s="72">
        <f t="shared" si="14"/>
        <v>57172657.140000001</v>
      </c>
      <c r="N37" s="72">
        <f t="shared" ref="N37:Q37" si="15">N23-N32</f>
        <v>55926284.770000011</v>
      </c>
      <c r="O37" s="72">
        <f t="shared" si="15"/>
        <v>65437813.219999991</v>
      </c>
      <c r="P37" s="72">
        <f t="shared" si="15"/>
        <v>46501494.250000007</v>
      </c>
      <c r="Q37" s="72">
        <f t="shared" si="15"/>
        <v>55666838.240000002</v>
      </c>
      <c r="R37" s="72">
        <f>R23-R32</f>
        <v>619970963.83000016</v>
      </c>
      <c r="S37" s="72">
        <f>S23-S32</f>
        <v>6534454.7400000012</v>
      </c>
      <c r="T37" s="40"/>
      <c r="V37" s="47"/>
    </row>
    <row r="38" spans="1:24" s="33" customFormat="1">
      <c r="A38" s="38"/>
      <c r="B38" s="38"/>
      <c r="C38" s="38"/>
      <c r="D38" s="38"/>
      <c r="E38" s="38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41"/>
      <c r="S38" s="41"/>
      <c r="T38" s="32"/>
      <c r="V38" s="48"/>
    </row>
    <row r="39" spans="1:24" s="33" customFormat="1">
      <c r="A39" s="113" t="s">
        <v>22</v>
      </c>
      <c r="B39" s="114"/>
      <c r="C39" s="114"/>
      <c r="D39" s="114"/>
      <c r="E39" s="114"/>
      <c r="F39" s="114"/>
      <c r="G39" s="114"/>
      <c r="H39" s="114"/>
      <c r="I39" s="115"/>
      <c r="J39" s="116" t="s">
        <v>23</v>
      </c>
      <c r="K39" s="117"/>
      <c r="L39" s="117"/>
      <c r="M39" s="117"/>
      <c r="N39" s="117"/>
      <c r="O39" s="117"/>
      <c r="P39" s="118"/>
      <c r="Q39" s="116" t="s">
        <v>24</v>
      </c>
      <c r="R39" s="117"/>
      <c r="S39" s="118"/>
      <c r="T39" s="32"/>
      <c r="V39" s="48"/>
      <c r="X39" s="47">
        <f>T38+T40+T44</f>
        <v>0</v>
      </c>
    </row>
    <row r="40" spans="1:24" s="33" customFormat="1">
      <c r="A40" s="82" t="s">
        <v>25</v>
      </c>
      <c r="B40" s="83"/>
      <c r="C40" s="83"/>
      <c r="D40" s="83"/>
      <c r="E40" s="83"/>
      <c r="F40" s="83"/>
      <c r="G40" s="83"/>
      <c r="H40" s="83"/>
      <c r="I40" s="84"/>
      <c r="J40" s="85">
        <v>30553041197.119999</v>
      </c>
      <c r="K40" s="86"/>
      <c r="L40" s="86"/>
      <c r="M40" s="86"/>
      <c r="N40" s="86"/>
      <c r="O40" s="86"/>
      <c r="P40" s="87"/>
      <c r="Q40" s="95">
        <v>0</v>
      </c>
      <c r="R40" s="96"/>
      <c r="S40" s="97"/>
      <c r="T40" s="32"/>
      <c r="V40" s="48"/>
      <c r="X40" s="47">
        <f>T39</f>
        <v>0</v>
      </c>
    </row>
    <row r="41" spans="1:24" s="33" customFormat="1">
      <c r="A41" s="89" t="s">
        <v>70</v>
      </c>
      <c r="B41" s="90"/>
      <c r="C41" s="90"/>
      <c r="D41" s="90"/>
      <c r="E41" s="90"/>
      <c r="F41" s="90"/>
      <c r="G41" s="90"/>
      <c r="H41" s="90"/>
      <c r="I41" s="91"/>
      <c r="J41" s="92">
        <v>22565802</v>
      </c>
      <c r="K41" s="93"/>
      <c r="L41" s="93"/>
      <c r="M41" s="93"/>
      <c r="N41" s="93"/>
      <c r="O41" s="93"/>
      <c r="P41" s="94"/>
      <c r="Q41" s="95">
        <v>0</v>
      </c>
      <c r="R41" s="96"/>
      <c r="S41" s="97"/>
      <c r="T41" s="32"/>
      <c r="V41" s="48"/>
    </row>
    <row r="42" spans="1:24" s="33" customFormat="1">
      <c r="A42" s="89" t="s">
        <v>71</v>
      </c>
      <c r="B42" s="90"/>
      <c r="C42" s="90"/>
      <c r="D42" s="90"/>
      <c r="E42" s="90"/>
      <c r="F42" s="90"/>
      <c r="G42" s="90"/>
      <c r="H42" s="90"/>
      <c r="I42" s="91"/>
      <c r="J42" s="95">
        <v>180348276</v>
      </c>
      <c r="K42" s="96"/>
      <c r="L42" s="96"/>
      <c r="M42" s="96"/>
      <c r="N42" s="96"/>
      <c r="O42" s="96"/>
      <c r="P42" s="97"/>
      <c r="Q42" s="95">
        <v>0</v>
      </c>
      <c r="R42" s="96"/>
      <c r="S42" s="97"/>
      <c r="T42" s="32"/>
      <c r="V42" s="48"/>
    </row>
    <row r="43" spans="1:24" s="33" customFormat="1">
      <c r="A43" s="101" t="s">
        <v>26</v>
      </c>
      <c r="B43" s="102"/>
      <c r="C43" s="102"/>
      <c r="D43" s="102"/>
      <c r="E43" s="102"/>
      <c r="F43" s="102"/>
      <c r="G43" s="102"/>
      <c r="H43" s="102"/>
      <c r="I43" s="103"/>
      <c r="J43" s="85">
        <f>J40-J41-J42</f>
        <v>30350127119.119999</v>
      </c>
      <c r="K43" s="86"/>
      <c r="L43" s="86"/>
      <c r="M43" s="86"/>
      <c r="N43" s="86"/>
      <c r="O43" s="86"/>
      <c r="P43" s="87"/>
      <c r="Q43" s="95">
        <v>0</v>
      </c>
      <c r="R43" s="96"/>
      <c r="S43" s="97"/>
      <c r="T43" s="32"/>
      <c r="V43" s="48"/>
    </row>
    <row r="44" spans="1:24" s="33" customFormat="1">
      <c r="A44" s="104" t="s">
        <v>50</v>
      </c>
      <c r="B44" s="105"/>
      <c r="C44" s="105"/>
      <c r="D44" s="105"/>
      <c r="E44" s="105"/>
      <c r="F44" s="105"/>
      <c r="G44" s="105"/>
      <c r="H44" s="105"/>
      <c r="I44" s="106"/>
      <c r="J44" s="107">
        <f>R37+S37</f>
        <v>626505418.57000017</v>
      </c>
      <c r="K44" s="108"/>
      <c r="L44" s="108"/>
      <c r="M44" s="108"/>
      <c r="N44" s="108"/>
      <c r="O44" s="108"/>
      <c r="P44" s="109"/>
      <c r="Q44" s="110">
        <f>J44/J43</f>
        <v>2.0642596194442749E-2</v>
      </c>
      <c r="R44" s="111"/>
      <c r="S44" s="112"/>
      <c r="T44" s="32"/>
    </row>
    <row r="45" spans="1:24" s="33" customFormat="1">
      <c r="A45" s="82" t="s">
        <v>51</v>
      </c>
      <c r="B45" s="83"/>
      <c r="C45" s="83"/>
      <c r="D45" s="83"/>
      <c r="E45" s="83"/>
      <c r="F45" s="83"/>
      <c r="G45" s="83"/>
      <c r="H45" s="83"/>
      <c r="I45" s="84"/>
      <c r="J45" s="85">
        <f>J43*0.0455</f>
        <v>1380930783.91996</v>
      </c>
      <c r="K45" s="86"/>
      <c r="L45" s="86"/>
      <c r="M45" s="86"/>
      <c r="N45" s="86"/>
      <c r="O45" s="86"/>
      <c r="P45" s="87"/>
      <c r="Q45" s="98">
        <v>4.5499999999999999E-2</v>
      </c>
      <c r="R45" s="99"/>
      <c r="S45" s="100"/>
      <c r="T45" s="32"/>
    </row>
    <row r="46" spans="1:24" s="33" customFormat="1">
      <c r="A46" s="82" t="s">
        <v>52</v>
      </c>
      <c r="B46" s="83"/>
      <c r="C46" s="83"/>
      <c r="D46" s="83"/>
      <c r="E46" s="83"/>
      <c r="F46" s="83"/>
      <c r="G46" s="83"/>
      <c r="H46" s="83"/>
      <c r="I46" s="84"/>
      <c r="J46" s="85">
        <f>J45*0.95</f>
        <v>1311884244.7239621</v>
      </c>
      <c r="K46" s="86"/>
      <c r="L46" s="86"/>
      <c r="M46" s="86"/>
      <c r="N46" s="86"/>
      <c r="O46" s="86"/>
      <c r="P46" s="87"/>
      <c r="Q46" s="79">
        <v>4.3200000000000002E-2</v>
      </c>
      <c r="R46" s="80"/>
      <c r="S46" s="81"/>
      <c r="T46" s="73"/>
      <c r="V46" s="42"/>
    </row>
    <row r="47" spans="1:24" s="33" customFormat="1">
      <c r="A47" s="82" t="s">
        <v>53</v>
      </c>
      <c r="B47" s="83"/>
      <c r="C47" s="83"/>
      <c r="D47" s="83"/>
      <c r="E47" s="83"/>
      <c r="F47" s="83"/>
      <c r="G47" s="83"/>
      <c r="H47" s="83"/>
      <c r="I47" s="84"/>
      <c r="J47" s="85">
        <f>J45*0.9</f>
        <v>1242837705.5279641</v>
      </c>
      <c r="K47" s="86"/>
      <c r="L47" s="86"/>
      <c r="M47" s="86"/>
      <c r="N47" s="86"/>
      <c r="O47" s="86"/>
      <c r="P47" s="87"/>
      <c r="Q47" s="79">
        <v>4.1000000000000002E-2</v>
      </c>
      <c r="R47" s="80"/>
      <c r="S47" s="81"/>
      <c r="T47" s="73"/>
    </row>
    <row r="48" spans="1:24" s="33" customFormat="1">
      <c r="A48" s="4" t="s">
        <v>39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3"/>
      <c r="S48" s="4"/>
      <c r="T48" s="32"/>
    </row>
    <row r="49" spans="1:20" s="1" customFormat="1" ht="23.25" customHeight="1">
      <c r="A49" s="88" t="s">
        <v>27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44"/>
    </row>
    <row r="50" spans="1:20" s="33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32"/>
    </row>
    <row r="51" spans="1:20" ht="6.75" customHeight="1"/>
    <row r="53" spans="1:20" ht="11.25" customHeight="1">
      <c r="A53" s="78" t="s">
        <v>54</v>
      </c>
      <c r="B53" s="78"/>
      <c r="C53" s="78"/>
      <c r="D53" s="78"/>
      <c r="E53" s="78"/>
      <c r="F53" s="78"/>
      <c r="G53" s="78"/>
      <c r="H53" s="62"/>
      <c r="I53" s="78" t="s">
        <v>60</v>
      </c>
      <c r="J53" s="77"/>
      <c r="K53" s="77"/>
      <c r="L53" s="62"/>
      <c r="M53" s="62"/>
      <c r="N53" s="77" t="s">
        <v>30</v>
      </c>
      <c r="O53" s="77"/>
      <c r="P53" s="77"/>
      <c r="Q53" s="77"/>
      <c r="R53" s="77"/>
      <c r="S53" s="77"/>
    </row>
    <row r="54" spans="1:20" ht="11.25" customHeight="1">
      <c r="A54" s="77" t="s">
        <v>72</v>
      </c>
      <c r="B54" s="77"/>
      <c r="C54" s="77"/>
      <c r="D54" s="77"/>
      <c r="E54" s="77"/>
      <c r="F54" s="77"/>
      <c r="G54" s="77"/>
      <c r="H54" s="45"/>
      <c r="I54" s="77" t="s">
        <v>29</v>
      </c>
      <c r="J54" s="77"/>
      <c r="K54" s="77"/>
      <c r="L54" s="45"/>
      <c r="M54" s="45"/>
      <c r="N54" s="77" t="s">
        <v>31</v>
      </c>
      <c r="O54" s="77"/>
      <c r="P54" s="77"/>
      <c r="Q54" s="77"/>
      <c r="R54" s="77"/>
      <c r="S54" s="77"/>
    </row>
    <row r="59" spans="1:20">
      <c r="I59" s="77" t="s">
        <v>32</v>
      </c>
      <c r="J59" s="77"/>
      <c r="K59" s="77"/>
    </row>
    <row r="60" spans="1:20" ht="11.25" customHeight="1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</row>
    <row r="61" spans="1:20" ht="11.25" customHeight="1">
      <c r="I61" s="78" t="s">
        <v>55</v>
      </c>
      <c r="J61" s="78"/>
      <c r="K61" s="78"/>
    </row>
    <row r="62" spans="1:20">
      <c r="I62" s="77" t="s">
        <v>33</v>
      </c>
      <c r="J62" s="77"/>
      <c r="K62" s="77"/>
    </row>
    <row r="64" spans="1:20" ht="11.25" customHeight="1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</row>
    <row r="65" spans="1:19" ht="11.25" customHeight="1"/>
    <row r="66" spans="1:19" ht="11.25" customHeight="1">
      <c r="F66" s="78" t="s">
        <v>34</v>
      </c>
      <c r="G66" s="78"/>
      <c r="H66" s="78"/>
      <c r="L66" s="78" t="s">
        <v>58</v>
      </c>
      <c r="M66" s="78"/>
      <c r="N66" s="78"/>
    </row>
    <row r="67" spans="1:19" ht="11.25" customHeight="1">
      <c r="D67" t="s">
        <v>40</v>
      </c>
      <c r="E67" s="45" t="s">
        <v>35</v>
      </c>
      <c r="F67" s="77" t="s">
        <v>56</v>
      </c>
      <c r="G67" s="77"/>
      <c r="H67" s="77"/>
      <c r="I67" s="45"/>
      <c r="J67" s="45"/>
      <c r="K67" s="45"/>
      <c r="L67" s="77" t="s">
        <v>36</v>
      </c>
      <c r="M67" s="77"/>
      <c r="N67" s="77"/>
      <c r="O67" s="45"/>
      <c r="P67" s="45"/>
      <c r="Q67" s="45"/>
      <c r="R67" s="45"/>
      <c r="S67" s="45"/>
    </row>
    <row r="68" spans="1:19" ht="11.25" customHeight="1">
      <c r="E68" s="45"/>
      <c r="F68" s="62"/>
      <c r="G68" s="62"/>
      <c r="H68" s="62"/>
      <c r="I68" s="45"/>
      <c r="J68" s="45"/>
      <c r="K68" s="45"/>
      <c r="L68" s="62"/>
      <c r="M68" s="62"/>
      <c r="N68" s="62"/>
      <c r="O68" s="45"/>
      <c r="P68" s="45"/>
      <c r="Q68" s="45"/>
      <c r="R68" s="45"/>
      <c r="S68" s="45"/>
    </row>
    <row r="69" spans="1:19" ht="11.25" customHeight="1">
      <c r="D69" t="s">
        <v>40</v>
      </c>
      <c r="E69" s="45" t="s">
        <v>36</v>
      </c>
      <c r="G69" s="45"/>
      <c r="H69" s="45"/>
      <c r="I69" s="45"/>
      <c r="J69" s="45"/>
      <c r="K69" s="45"/>
      <c r="N69" s="45"/>
      <c r="O69" s="45"/>
      <c r="P69" s="45"/>
      <c r="Q69" s="45"/>
      <c r="R69" s="45"/>
      <c r="S69" s="45"/>
    </row>
    <row r="70" spans="1:19" ht="11.25" customHeight="1">
      <c r="I70" s="77" t="s">
        <v>57</v>
      </c>
      <c r="J70" s="77"/>
      <c r="K70" s="77"/>
    </row>
    <row r="71" spans="1:19" ht="11.25" customHeight="1">
      <c r="I71" s="77" t="s">
        <v>37</v>
      </c>
      <c r="J71" s="77"/>
      <c r="K71" s="77"/>
    </row>
    <row r="72" spans="1:19" ht="11.25" customHeight="1">
      <c r="D72" t="s">
        <v>40</v>
      </c>
      <c r="I72" s="77"/>
      <c r="J72" s="77"/>
      <c r="K72" s="77"/>
    </row>
    <row r="73" spans="1:19" ht="11.25" customHeight="1">
      <c r="I73" s="62"/>
      <c r="J73" s="62"/>
      <c r="K73" s="62"/>
    </row>
    <row r="74" spans="1:19" ht="11.2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1:19" ht="11.2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</row>
    <row r="76" spans="1:19" ht="11.25" customHeight="1">
      <c r="I76" s="77" t="s">
        <v>73</v>
      </c>
      <c r="J76" s="77"/>
      <c r="K76" s="77"/>
    </row>
    <row r="77" spans="1:19" ht="11.25" customHeight="1">
      <c r="I77" s="77" t="s">
        <v>59</v>
      </c>
      <c r="J77" s="77"/>
      <c r="K77" s="77"/>
    </row>
    <row r="78" spans="1:19">
      <c r="I78" s="78"/>
      <c r="J78" s="78"/>
      <c r="K78" s="78"/>
    </row>
    <row r="80" spans="1:19" ht="11.25" customHeight="1">
      <c r="A80" s="46"/>
      <c r="B80" s="46"/>
      <c r="C80" s="46"/>
      <c r="D80" s="46"/>
      <c r="E80" s="46"/>
      <c r="F80" s="46"/>
      <c r="G80" s="46"/>
      <c r="H80" s="46"/>
      <c r="I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1:19" ht="11.25" customHeight="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</row>
    <row r="82" spans="1:19" ht="11.25" customHeight="1"/>
    <row r="83" spans="1:19" ht="11.25" customHeight="1"/>
    <row r="84" spans="1:19" ht="11.25" customHeight="1">
      <c r="A84" t="s">
        <v>40</v>
      </c>
    </row>
  </sheetData>
  <mergeCells count="59">
    <mergeCell ref="I76:K76"/>
    <mergeCell ref="A8:S8"/>
    <mergeCell ref="A53:G53"/>
    <mergeCell ref="I53:K53"/>
    <mergeCell ref="N53:S53"/>
    <mergeCell ref="A9:S9"/>
    <mergeCell ref="A10:S10"/>
    <mergeCell ref="A11:S11"/>
    <mergeCell ref="A12:S12"/>
    <mergeCell ref="A13:S13"/>
    <mergeCell ref="F16:S16"/>
    <mergeCell ref="F17:S17"/>
    <mergeCell ref="A18:E18"/>
    <mergeCell ref="F18:R18"/>
    <mergeCell ref="A21:E21"/>
    <mergeCell ref="Q39:S39"/>
    <mergeCell ref="A40:I40"/>
    <mergeCell ref="A39:I39"/>
    <mergeCell ref="J39:P39"/>
    <mergeCell ref="J40:P40"/>
    <mergeCell ref="Q40:S40"/>
    <mergeCell ref="A41:I41"/>
    <mergeCell ref="J41:P41"/>
    <mergeCell ref="Q41:S41"/>
    <mergeCell ref="A45:I45"/>
    <mergeCell ref="J45:P45"/>
    <mergeCell ref="Q45:S45"/>
    <mergeCell ref="A43:I43"/>
    <mergeCell ref="J43:P43"/>
    <mergeCell ref="Q43:S43"/>
    <mergeCell ref="A44:I44"/>
    <mergeCell ref="J44:P44"/>
    <mergeCell ref="Q44:S44"/>
    <mergeCell ref="A42:I42"/>
    <mergeCell ref="J42:P42"/>
    <mergeCell ref="Q42:S42"/>
    <mergeCell ref="Q46:S46"/>
    <mergeCell ref="A47:I47"/>
    <mergeCell ref="J47:P47"/>
    <mergeCell ref="Q47:S47"/>
    <mergeCell ref="A49:S49"/>
    <mergeCell ref="A46:I46"/>
    <mergeCell ref="J46:P46"/>
    <mergeCell ref="A81:S81"/>
    <mergeCell ref="A54:G54"/>
    <mergeCell ref="I54:K54"/>
    <mergeCell ref="N54:S54"/>
    <mergeCell ref="F67:H67"/>
    <mergeCell ref="L67:N67"/>
    <mergeCell ref="I72:K72"/>
    <mergeCell ref="I59:K59"/>
    <mergeCell ref="I61:K61"/>
    <mergeCell ref="I62:K62"/>
    <mergeCell ref="F66:H66"/>
    <mergeCell ref="L66:N66"/>
    <mergeCell ref="I71:K71"/>
    <mergeCell ref="I77:K77"/>
    <mergeCell ref="I78:K78"/>
    <mergeCell ref="I70:K70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60" orientation="landscape" r:id="rId1"/>
  <legacyDrawing r:id="rId2"/>
  <oleObjects>
    <oleObject progId="Word.Picture.8" shapeId="1034" r:id="rId3"/>
    <oleObject progId="Word.Picture.8" shapeId="103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1 - Pessoal E, DF,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victor.proenca</cp:lastModifiedBy>
  <cp:lastPrinted>2023-10-24T20:37:20Z</cp:lastPrinted>
  <dcterms:created xsi:type="dcterms:W3CDTF">2019-04-04T12:09:13Z</dcterms:created>
  <dcterms:modified xsi:type="dcterms:W3CDTF">2023-11-01T13:48:02Z</dcterms:modified>
</cp:coreProperties>
</file>