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3395" windowHeight="11040"/>
  </bookViews>
  <sheets>
    <sheet name="Anexo 1 - Pessoal E, DF, M" sheetId="1" r:id="rId1"/>
  </sheets>
  <definedNames>
    <definedName name="Ações">#REF!</definedName>
    <definedName name="_xlnm.Print_Area" localSheetId="0">'Anexo 1 - Pessoal E, DF, M'!$A$3:$S$79</definedName>
    <definedName name="Cancela" localSheetId="0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etalhes_do_Demonstrativo_MDE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 localSheetId="0">#REF!,#REF!</definedName>
    <definedName name="dsfrw">#REF!,#REF!</definedName>
    <definedName name="Elementos">#REF!</definedName>
    <definedName name="fdsafs" localSheetId="0">#REF!,#REF!</definedName>
    <definedName name="fdsafs">#REF!,#REF!</definedName>
    <definedName name="fdsf" localSheetId="0">#REF!</definedName>
    <definedName name="fdsf">#REF!</definedName>
    <definedName name="fhksjd" localSheetId="0">#REF!,#REF!</definedName>
    <definedName name="fhksjd">#REF!,#REF!</definedName>
    <definedName name="fsdfs" localSheetId="0">#REF!</definedName>
    <definedName name="fsdfs">#REF!</definedName>
    <definedName name="Ganhos_e_perdas_de_receita">#REF!</definedName>
    <definedName name="Ganhos_e_Perdas_de_Receita_99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>#REF!,#REF!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xxx" localSheetId="0">#REF!,#REF!</definedName>
    <definedName name="xxx">#REF!,#REF!</definedName>
  </definedNames>
  <calcPr calcId="124519"/>
</workbook>
</file>

<file path=xl/calcChain.xml><?xml version="1.0" encoding="utf-8"?>
<calcChain xmlns="http://schemas.openxmlformats.org/spreadsheetml/2006/main">
  <c r="N27" i="1"/>
  <c r="O27"/>
  <c r="P27"/>
  <c r="Q27"/>
  <c r="Q26"/>
  <c r="P26"/>
  <c r="O26"/>
  <c r="G25"/>
  <c r="Q35"/>
  <c r="Q33"/>
  <c r="Q25"/>
  <c r="P35"/>
  <c r="P33"/>
  <c r="P25"/>
  <c r="O35"/>
  <c r="O33"/>
  <c r="O25"/>
  <c r="N35"/>
  <c r="N25"/>
  <c r="M35"/>
  <c r="M32" s="1"/>
  <c r="L35"/>
  <c r="J35"/>
  <c r="H35"/>
  <c r="F35"/>
  <c r="M33"/>
  <c r="L33"/>
  <c r="L32" s="1"/>
  <c r="K33"/>
  <c r="K32" s="1"/>
  <c r="J33"/>
  <c r="J32" s="1"/>
  <c r="I33"/>
  <c r="I32" s="1"/>
  <c r="H33"/>
  <c r="G33"/>
  <c r="F33"/>
  <c r="H32"/>
  <c r="G32"/>
  <c r="F32"/>
  <c r="M27"/>
  <c r="L27"/>
  <c r="K27"/>
  <c r="J27"/>
  <c r="I27"/>
  <c r="H27"/>
  <c r="G27"/>
  <c r="F27"/>
  <c r="M26"/>
  <c r="L26"/>
  <c r="L24" s="1"/>
  <c r="L23" s="1"/>
  <c r="L37" s="1"/>
  <c r="K26"/>
  <c r="K24" s="1"/>
  <c r="K23" s="1"/>
  <c r="K37" s="1"/>
  <c r="J26"/>
  <c r="J24" s="1"/>
  <c r="J23" s="1"/>
  <c r="J37" s="1"/>
  <c r="I26"/>
  <c r="I24" s="1"/>
  <c r="I23" s="1"/>
  <c r="I37" s="1"/>
  <c r="H26"/>
  <c r="G26"/>
  <c r="F26"/>
  <c r="M25"/>
  <c r="L25"/>
  <c r="K25"/>
  <c r="J25"/>
  <c r="I25"/>
  <c r="H25"/>
  <c r="H24" s="1"/>
  <c r="H23" s="1"/>
  <c r="H37" s="1"/>
  <c r="G24"/>
  <c r="G23" s="1"/>
  <c r="G37" s="1"/>
  <c r="F25"/>
  <c r="F24" s="1"/>
  <c r="F23" s="1"/>
  <c r="F37" s="1"/>
  <c r="M24"/>
  <c r="M23" s="1"/>
  <c r="S35"/>
  <c r="S33"/>
  <c r="S26"/>
  <c r="S25"/>
  <c r="R36"/>
  <c r="R34"/>
  <c r="M37" l="1"/>
  <c r="R25"/>
  <c r="R35"/>
  <c r="R33"/>
  <c r="R32" l="1"/>
  <c r="N24"/>
  <c r="N32" l="1"/>
  <c r="Q32" l="1"/>
  <c r="J45" l="1"/>
  <c r="J47" s="1"/>
  <c r="O32"/>
  <c r="P32"/>
  <c r="J49" l="1"/>
  <c r="J48"/>
  <c r="S32"/>
  <c r="S27"/>
  <c r="S24"/>
  <c r="S23" l="1"/>
  <c r="R31" l="1"/>
  <c r="R30"/>
  <c r="R29"/>
  <c r="R28"/>
  <c r="N23"/>
  <c r="R26"/>
  <c r="Q24"/>
  <c r="P24"/>
  <c r="O24"/>
  <c r="S37"/>
  <c r="R27" l="1"/>
  <c r="Q23"/>
  <c r="Q37" s="1"/>
  <c r="P23"/>
  <c r="P37" s="1"/>
  <c r="O23"/>
  <c r="O37" s="1"/>
  <c r="N37"/>
  <c r="R24"/>
  <c r="X40"/>
  <c r="X39"/>
  <c r="R23" l="1"/>
  <c r="R37" s="1"/>
  <c r="J46" s="1"/>
  <c r="Q46" s="1"/>
</calcChain>
</file>

<file path=xl/sharedStrings.xml><?xml version="1.0" encoding="utf-8"?>
<sst xmlns="http://schemas.openxmlformats.org/spreadsheetml/2006/main" count="86" uniqueCount="81">
  <si>
    <t>RELATÓRIO DE GESTÃO FISCAL</t>
  </si>
  <si>
    <t xml:space="preserve"> RGF - ANEXO 1 (LRF, art. 55, inciso I, alínea "a")</t>
  </si>
  <si>
    <t>DESPESA COM PESSOAL</t>
  </si>
  <si>
    <t>DESPESAS EXECUTADAS</t>
  </si>
  <si>
    <t>(Últimos 12 Meses)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</si>
  <si>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</si>
  <si>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</si>
  <si>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</si>
  <si>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</si>
  <si>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</si>
  <si>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</si>
  <si>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</si>
  <si>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</si>
  <si>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</si>
  <si>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</si>
  <si>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</si>
  <si>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</si>
  <si>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Pessoal Inativo e Pensionistas</t>
  </si>
  <si>
    <t>Indenizações por Demissão e Incentivos à Demissão Voluntária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</si>
  <si>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</si>
  <si>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</si>
  <si>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</si>
  <si>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</si>
  <si>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</si>
  <si>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</si>
  <si>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</si>
  <si>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= RECEITA CORRENTE LÍQUIDA AJUSTADA (VI)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</si>
  <si>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</si>
  <si>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CÂMARA MUNICIPAL DO RIO DE JANEIRO</t>
  </si>
  <si>
    <t>MESA DIRETORA</t>
  </si>
  <si>
    <t>TÂNIA BASTOS</t>
  </si>
  <si>
    <t>ZICO</t>
  </si>
  <si>
    <t>2º Vice-Presidente</t>
  </si>
  <si>
    <t>1º Secretário</t>
  </si>
  <si>
    <t>MUNICÍPIO DO RIO DE JANEIRO - PODER LEGISLATIVO</t>
  </si>
  <si>
    <t>FONTE: CONTADORIA-GERAL/CMRJ</t>
  </si>
  <si>
    <t xml:space="preserve"> </t>
  </si>
  <si>
    <t xml:space="preserve">DEMONSTRATIVO DA DESPESA COM PESSOAL </t>
  </si>
  <si>
    <t>ORÇAMENTOS FISCAL E DA SEGURIDADE SOCIAL</t>
  </si>
  <si>
    <t xml:space="preserve">       Vencimento, Vantagens e Outras Despesas Variáveis</t>
  </si>
  <si>
    <t xml:space="preserve">       Obrigações Patronais</t>
  </si>
  <si>
    <t xml:space="preserve">       Pensões</t>
  </si>
  <si>
    <t xml:space="preserve">    Outras despesas de pessoal decorrentes de contratos de terceirização (§ 1º do art. 18 da LRF)</t>
  </si>
  <si>
    <t>DESPESAS NÃO COMPUTADAS (§ 1º do art. 19 da LRF) (II)</t>
  </si>
  <si>
    <t xml:space="preserve">Decorrentes de Decisão Judicial </t>
  </si>
  <si>
    <t>DESPESA TOTAL COM PESSOAL  (VII) = (IIIa+IIIb)</t>
  </si>
  <si>
    <t>LIMITE MÁXIMO (VIII) (incisos I, II e III, art. 20 da LRF)</t>
  </si>
  <si>
    <t>LIMITE PRUDENCIAL (IX) = (0,95x VI) (parágrafo único, art. 22 da LRF)</t>
  </si>
  <si>
    <t>LIMITE DE ALERTA (X) = (0,90 x VI) (inciso II do § 1º do art. 59 da LRF)</t>
  </si>
  <si>
    <t xml:space="preserve">                 JOÃO PAULO NASCENTES</t>
  </si>
  <si>
    <t>RAFAEL ALOISIO FREITAS</t>
  </si>
  <si>
    <t xml:space="preserve">   2º Secretário</t>
  </si>
  <si>
    <t>ANTONIO CESAR LINS CAVALCANTI</t>
  </si>
  <si>
    <t xml:space="preserve">    Despesa com Pessoal não executada Orçamentariamente</t>
  </si>
  <si>
    <t xml:space="preserve">                    Diretor de Finanças</t>
  </si>
  <si>
    <t>WILLIAN COELHO</t>
  </si>
  <si>
    <r>
      <t>(-) Transferências obrigatórias da União relativas às emendas individuais (</t>
    </r>
    <r>
      <rPr>
        <sz val="8"/>
        <rFont val="Calibri"/>
        <family val="2"/>
      </rPr>
      <t>§ 13, art. 166 da CF)  (V)</t>
    </r>
  </si>
  <si>
    <t>(-) Transferências obrigatórias da União relativas às emendas de bancada (§ 16, art. 166 da CF)  (VI)</t>
  </si>
  <si>
    <t>(-) Transferências da União relativas à remuneração dos agentes comunitários de saúde e e de combate às endemias (CF, art. 198, §11)</t>
  </si>
  <si>
    <t>(-) Outras deduções constitucionais ou legais</t>
  </si>
  <si>
    <t>PAULO MESSINA</t>
  </si>
  <si>
    <t>CARLO CAIADO</t>
  </si>
  <si>
    <t>Jun/2025</t>
  </si>
  <si>
    <t>Maio/2025</t>
  </si>
  <si>
    <t>Jul/2025</t>
  </si>
  <si>
    <t>Ago/2025</t>
  </si>
  <si>
    <t>1º Vice-Presidente</t>
  </si>
  <si>
    <t>Presidente</t>
  </si>
  <si>
    <t>Contadoria-Geral</t>
  </si>
  <si>
    <t>Controladoria-Geral</t>
  </si>
  <si>
    <t>Set/2025</t>
  </si>
  <si>
    <t>Out2025</t>
  </si>
  <si>
    <t>Nov/2025</t>
  </si>
  <si>
    <t>Dez/2025</t>
  </si>
  <si>
    <t>VINICIUS COSTA DA ROCHA VIANA</t>
  </si>
  <si>
    <t>Jan/2026</t>
  </si>
  <si>
    <t>Fev/2026</t>
  </si>
  <si>
    <t>Mar/2026</t>
  </si>
  <si>
    <t>Abr/2026</t>
  </si>
  <si>
    <t xml:space="preserve">       Aposentadorias, Reserva e Reformas</t>
  </si>
  <si>
    <t>MAI-2025/ABR-2026</t>
  </si>
</sst>
</file>

<file path=xl/styles.xml><?xml version="1.0" encoding="utf-8"?>
<styleSheet xmlns="http://schemas.openxmlformats.org/spreadsheetml/2006/main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_);[Red]\(&quot;R$ &quot;#,##0.00\)"/>
    <numFmt numFmtId="165" formatCode="0.000"/>
    <numFmt numFmtId="166" formatCode="_(* #,##0.00_);_(* \(#,##0.00\);_(* &quot;-&quot;??_);_(@_)"/>
    <numFmt numFmtId="167" formatCode="_([$€]* #,##0.00_);_([$€]* \(#,##0.00\);_([$€]* &quot;-&quot;??_);_(@_)"/>
    <numFmt numFmtId="168" formatCode="_-* #,##0.0000_-;\-* #,##0.0000_-;_-* &quot;-&quot;??_-;_-@_-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sz val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222222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3" fillId="0" borderId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1"/>
    <xf numFmtId="4" fontId="6" fillId="0" borderId="6" xfId="1" applyNumberFormat="1" applyFont="1" applyBorder="1"/>
    <xf numFmtId="4" fontId="6" fillId="0" borderId="15" xfId="1" applyNumberFormat="1" applyFont="1" applyBorder="1"/>
    <xf numFmtId="0" fontId="6" fillId="0" borderId="0" xfId="0" applyNumberFormat="1" applyFont="1" applyFill="1" applyBorder="1" applyAlignment="1"/>
    <xf numFmtId="43" fontId="0" fillId="0" borderId="0" xfId="4" applyFont="1"/>
    <xf numFmtId="0" fontId="6" fillId="0" borderId="0" xfId="0" applyNumberFormat="1" applyFont="1" applyFill="1" applyAlignment="1"/>
    <xf numFmtId="164" fontId="6" fillId="0" borderId="0" xfId="0" applyNumberFormat="1" applyFont="1" applyFill="1" applyAlignment="1">
      <alignment horizontal="right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top" wrapText="1"/>
    </xf>
    <xf numFmtId="0" fontId="7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2" borderId="14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/>
    <xf numFmtId="0" fontId="6" fillId="0" borderId="5" xfId="0" applyNumberFormat="1" applyFont="1" applyFill="1" applyBorder="1" applyAlignment="1"/>
    <xf numFmtId="4" fontId="6" fillId="0" borderId="15" xfId="1" applyNumberFormat="1" applyFont="1" applyBorder="1" applyAlignment="1">
      <alignment horizontal="right"/>
    </xf>
    <xf numFmtId="43" fontId="0" fillId="0" borderId="0" xfId="4" applyFont="1" applyBorder="1"/>
    <xf numFmtId="0" fontId="6" fillId="0" borderId="15" xfId="0" applyNumberFormat="1" applyFont="1" applyFill="1" applyBorder="1" applyAlignment="1">
      <alignment horizontal="left"/>
    </xf>
    <xf numFmtId="0" fontId="6" fillId="0" borderId="13" xfId="0" applyNumberFormat="1" applyFont="1" applyFill="1" applyBorder="1" applyAlignment="1"/>
    <xf numFmtId="0" fontId="6" fillId="0" borderId="15" xfId="0" applyNumberFormat="1" applyFont="1" applyFill="1" applyBorder="1" applyAlignment="1"/>
    <xf numFmtId="0" fontId="6" fillId="0" borderId="15" xfId="0" applyNumberFormat="1" applyFont="1" applyFill="1" applyBorder="1" applyAlignment="1">
      <alignment horizontal="left" indent="1"/>
    </xf>
    <xf numFmtId="43" fontId="0" fillId="0" borderId="0" xfId="4" applyFont="1" applyFill="1"/>
    <xf numFmtId="0" fontId="0" fillId="0" borderId="0" xfId="0" applyFill="1"/>
    <xf numFmtId="0" fontId="6" fillId="0" borderId="7" xfId="0" applyNumberFormat="1" applyFont="1" applyFill="1" applyBorder="1" applyAlignment="1">
      <alignment horizontal="left" indent="1"/>
    </xf>
    <xf numFmtId="0" fontId="6" fillId="0" borderId="8" xfId="0" applyNumberFormat="1" applyFont="1" applyFill="1" applyBorder="1" applyAlignment="1"/>
    <xf numFmtId="0" fontId="6" fillId="0" borderId="9" xfId="0" applyNumberFormat="1" applyFont="1" applyFill="1" applyBorder="1" applyAlignment="1"/>
    <xf numFmtId="0" fontId="6" fillId="0" borderId="10" xfId="0" applyNumberFormat="1" applyFont="1" applyFill="1" applyBorder="1" applyAlignment="1"/>
    <xf numFmtId="0" fontId="6" fillId="0" borderId="11" xfId="0" applyNumberFormat="1" applyFont="1" applyFill="1" applyBorder="1" applyAlignment="1"/>
    <xf numFmtId="0" fontId="6" fillId="0" borderId="12" xfId="0" applyNumberFormat="1" applyFont="1" applyFill="1" applyBorder="1" applyAlignment="1"/>
    <xf numFmtId="43" fontId="0" fillId="0" borderId="0" xfId="4" applyFont="1" applyFill="1" applyBorder="1"/>
    <xf numFmtId="0" fontId="10" fillId="0" borderId="11" xfId="0" applyNumberFormat="1" applyFont="1" applyFill="1" applyBorder="1" applyAlignment="1"/>
    <xf numFmtId="4" fontId="12" fillId="0" borderId="0" xfId="0" applyNumberFormat="1" applyFont="1"/>
    <xf numFmtId="165" fontId="6" fillId="0" borderId="0" xfId="0" applyNumberFormat="1" applyFont="1" applyFill="1" applyBorder="1" applyAlignment="1"/>
    <xf numFmtId="43" fontId="3" fillId="0" borderId="0" xfId="4" applyFont="1" applyBorder="1"/>
    <xf numFmtId="0" fontId="0" fillId="0" borderId="0" xfId="0" applyAlignment="1"/>
    <xf numFmtId="0" fontId="3" fillId="0" borderId="0" xfId="0" applyFont="1" applyAlignment="1"/>
    <xf numFmtId="43" fontId="0" fillId="0" borderId="0" xfId="0" applyNumberFormat="1" applyFill="1"/>
    <xf numFmtId="0" fontId="3" fillId="0" borderId="0" xfId="0" applyFont="1" applyFill="1"/>
    <xf numFmtId="0" fontId="7" fillId="0" borderId="15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/>
    <xf numFmtId="43" fontId="6" fillId="0" borderId="15" xfId="13" applyFont="1" applyBorder="1"/>
    <xf numFmtId="43" fontId="6" fillId="3" borderId="6" xfId="13" applyFont="1" applyFill="1" applyBorder="1"/>
    <xf numFmtId="4" fontId="6" fillId="3" borderId="6" xfId="1" applyNumberFormat="1" applyFont="1" applyFill="1" applyBorder="1"/>
    <xf numFmtId="43" fontId="6" fillId="0" borderId="11" xfId="0" applyNumberFormat="1" applyFont="1" applyFill="1" applyBorder="1" applyAlignment="1"/>
    <xf numFmtId="43" fontId="6" fillId="0" borderId="15" xfId="13" applyFont="1" applyFill="1" applyBorder="1"/>
    <xf numFmtId="43" fontId="6" fillId="0" borderId="6" xfId="13" applyFont="1" applyFill="1" applyBorder="1"/>
    <xf numFmtId="4" fontId="6" fillId="0" borderId="15" xfId="1" applyNumberFormat="1" applyFont="1" applyFill="1" applyBorder="1" applyAlignment="1">
      <alignment horizontal="right"/>
    </xf>
    <xf numFmtId="4" fontId="6" fillId="0" borderId="15" xfId="1" applyNumberFormat="1" applyFont="1" applyFill="1" applyBorder="1"/>
    <xf numFmtId="4" fontId="6" fillId="0" borderId="6" xfId="1" applyNumberFormat="1" applyFont="1" applyFill="1" applyBorder="1"/>
    <xf numFmtId="4" fontId="6" fillId="0" borderId="2" xfId="1" applyNumberFormat="1" applyFont="1" applyFill="1" applyBorder="1"/>
    <xf numFmtId="0" fontId="0" fillId="0" borderId="0" xfId="0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43" fontId="6" fillId="0" borderId="0" xfId="13" applyFont="1" applyFill="1" applyAlignment="1"/>
    <xf numFmtId="43" fontId="14" fillId="0" borderId="0" xfId="13" applyFont="1" applyAlignment="1">
      <alignment horizontal="right"/>
    </xf>
    <xf numFmtId="43" fontId="6" fillId="0" borderId="15" xfId="13" applyFont="1" applyBorder="1" applyAlignment="1">
      <alignment horizontal="right"/>
    </xf>
    <xf numFmtId="43" fontId="6" fillId="0" borderId="6" xfId="13" applyFont="1" applyBorder="1"/>
    <xf numFmtId="43" fontId="6" fillId="0" borderId="15" xfId="13" applyFont="1" applyFill="1" applyBorder="1" applyAlignment="1">
      <alignment horizontal="right"/>
    </xf>
    <xf numFmtId="2" fontId="6" fillId="0" borderId="15" xfId="13" applyNumberFormat="1" applyFont="1" applyBorder="1" applyAlignment="1">
      <alignment horizontal="right"/>
    </xf>
    <xf numFmtId="168" fontId="0" fillId="0" borderId="0" xfId="4" applyNumberFormat="1" applyFont="1" applyFill="1"/>
    <xf numFmtId="43" fontId="6" fillId="0" borderId="6" xfId="13" applyFont="1" applyBorder="1" applyAlignment="1">
      <alignment horizontal="right"/>
    </xf>
    <xf numFmtId="43" fontId="6" fillId="0" borderId="1" xfId="13" applyFont="1" applyBorder="1" applyAlignment="1">
      <alignment horizontal="right"/>
    </xf>
    <xf numFmtId="43" fontId="5" fillId="0" borderId="0" xfId="4" applyFont="1" applyFill="1" applyAlignment="1"/>
    <xf numFmtId="43" fontId="7" fillId="0" borderId="0" xfId="4" applyFont="1" applyFill="1" applyAlignment="1"/>
    <xf numFmtId="43" fontId="6" fillId="0" borderId="0" xfId="4" applyFont="1" applyFill="1" applyAlignment="1"/>
    <xf numFmtId="43" fontId="10" fillId="0" borderId="10" xfId="13" applyFont="1" applyFill="1" applyBorder="1" applyAlignment="1">
      <alignment horizontal="center"/>
    </xf>
    <xf numFmtId="43" fontId="10" fillId="0" borderId="11" xfId="13" applyFont="1" applyFill="1" applyBorder="1" applyAlignment="1">
      <alignment horizontal="center"/>
    </xf>
    <xf numFmtId="43" fontId="10" fillId="0" borderId="12" xfId="13" applyFont="1" applyFill="1" applyBorder="1" applyAlignment="1">
      <alignment horizontal="center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0" fillId="0" borderId="0" xfId="0" applyNumberFormat="1" applyAlignment="1"/>
    <xf numFmtId="0" fontId="7" fillId="2" borderId="2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43" fontId="10" fillId="0" borderId="10" xfId="13" applyFont="1" applyFill="1" applyBorder="1" applyAlignment="1">
      <alignment horizontal="center"/>
    </xf>
    <xf numFmtId="43" fontId="10" fillId="0" borderId="11" xfId="13" applyFont="1" applyFill="1" applyBorder="1" applyAlignment="1">
      <alignment horizontal="center"/>
    </xf>
    <xf numFmtId="43" fontId="10" fillId="0" borderId="12" xfId="13" applyFont="1" applyFill="1" applyBorder="1" applyAlignment="1">
      <alignment horizontal="center"/>
    </xf>
    <xf numFmtId="0" fontId="0" fillId="0" borderId="0" xfId="0" applyAlignment="1">
      <alignment horizontal="center"/>
    </xf>
    <xf numFmtId="43" fontId="6" fillId="0" borderId="0" xfId="4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2" borderId="3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>
      <alignment horizontal="center"/>
    </xf>
    <xf numFmtId="0" fontId="7" fillId="2" borderId="5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11" fillId="2" borderId="10" xfId="0" applyNumberFormat="1" applyFont="1" applyFill="1" applyBorder="1" applyAlignment="1">
      <alignment horizontal="center"/>
    </xf>
    <xf numFmtId="0" fontId="11" fillId="2" borderId="11" xfId="0" applyNumberFormat="1" applyFont="1" applyFill="1" applyBorder="1" applyAlignment="1">
      <alignment horizontal="center"/>
    </xf>
    <xf numFmtId="0" fontId="11" fillId="2" borderId="12" xfId="0" applyNumberFormat="1" applyFont="1" applyFill="1" applyBorder="1" applyAlignment="1">
      <alignment horizontal="center"/>
    </xf>
    <xf numFmtId="0" fontId="6" fillId="0" borderId="10" xfId="0" applyNumberFormat="1" applyFont="1" applyFill="1" applyBorder="1" applyAlignment="1">
      <alignment horizontal="left"/>
    </xf>
    <xf numFmtId="0" fontId="6" fillId="0" borderId="11" xfId="0" applyNumberFormat="1" applyFont="1" applyFill="1" applyBorder="1" applyAlignment="1">
      <alignment horizontal="left"/>
    </xf>
    <xf numFmtId="0" fontId="6" fillId="0" borderId="12" xfId="0" applyNumberFormat="1" applyFont="1" applyFill="1" applyBorder="1" applyAlignment="1">
      <alignment horizontal="left"/>
    </xf>
    <xf numFmtId="4" fontId="10" fillId="0" borderId="10" xfId="0" applyNumberFormat="1" applyFont="1" applyFill="1" applyBorder="1" applyAlignment="1">
      <alignment horizontal="right"/>
    </xf>
    <xf numFmtId="4" fontId="10" fillId="0" borderId="11" xfId="0" applyNumberFormat="1" applyFont="1" applyFill="1" applyBorder="1" applyAlignment="1">
      <alignment horizontal="right"/>
    </xf>
    <xf numFmtId="4" fontId="10" fillId="0" borderId="12" xfId="0" applyNumberFormat="1" applyFont="1" applyFill="1" applyBorder="1" applyAlignment="1">
      <alignment horizontal="right"/>
    </xf>
    <xf numFmtId="0" fontId="6" fillId="0" borderId="10" xfId="1" applyNumberFormat="1" applyFont="1" applyFill="1" applyBorder="1" applyAlignment="1">
      <alignment horizontal="left"/>
    </xf>
    <xf numFmtId="0" fontId="6" fillId="0" borderId="11" xfId="1" applyNumberFormat="1" applyFont="1" applyFill="1" applyBorder="1" applyAlignment="1">
      <alignment horizontal="left"/>
    </xf>
    <xf numFmtId="0" fontId="6" fillId="0" borderId="12" xfId="1" applyNumberFormat="1" applyFont="1" applyFill="1" applyBorder="1" applyAlignment="1">
      <alignment horizontal="left"/>
    </xf>
    <xf numFmtId="43" fontId="10" fillId="0" borderId="10" xfId="13" applyFont="1" applyFill="1" applyBorder="1" applyAlignment="1">
      <alignment horizontal="right"/>
    </xf>
    <xf numFmtId="43" fontId="10" fillId="0" borderId="11" xfId="13" applyFont="1" applyFill="1" applyBorder="1" applyAlignment="1">
      <alignment horizontal="right"/>
    </xf>
    <xf numFmtId="43" fontId="10" fillId="0" borderId="12" xfId="13" applyFont="1" applyFill="1" applyBorder="1" applyAlignment="1">
      <alignment horizontal="right"/>
    </xf>
    <xf numFmtId="10" fontId="6" fillId="0" borderId="10" xfId="5" applyNumberFormat="1" applyFont="1" applyFill="1" applyBorder="1" applyAlignment="1">
      <alignment horizontal="center"/>
    </xf>
    <xf numFmtId="10" fontId="6" fillId="0" borderId="11" xfId="5" applyNumberFormat="1" applyFont="1" applyFill="1" applyBorder="1" applyAlignment="1">
      <alignment horizontal="center"/>
    </xf>
    <xf numFmtId="10" fontId="6" fillId="0" borderId="12" xfId="5" applyNumberFormat="1" applyFont="1" applyFill="1" applyBorder="1" applyAlignment="1">
      <alignment horizontal="center"/>
    </xf>
    <xf numFmtId="49" fontId="6" fillId="0" borderId="10" xfId="1" applyNumberFormat="1" applyFont="1" applyFill="1" applyBorder="1" applyAlignment="1">
      <alignment horizontal="left"/>
    </xf>
    <xf numFmtId="49" fontId="6" fillId="0" borderId="11" xfId="1" applyNumberFormat="1" applyFont="1" applyFill="1" applyBorder="1" applyAlignment="1">
      <alignment horizontal="left"/>
    </xf>
    <xf numFmtId="49" fontId="6" fillId="0" borderId="12" xfId="1" applyNumberFormat="1" applyFont="1" applyFill="1" applyBorder="1" applyAlignment="1">
      <alignment horizontal="left"/>
    </xf>
    <xf numFmtId="43" fontId="10" fillId="0" borderId="10" xfId="0" applyNumberFormat="1" applyFont="1" applyFill="1" applyBorder="1" applyAlignment="1">
      <alignment horizontal="right"/>
    </xf>
    <xf numFmtId="0" fontId="0" fillId="0" borderId="11" xfId="0" applyFill="1" applyBorder="1"/>
    <xf numFmtId="0" fontId="0" fillId="0" borderId="12" xfId="0" applyFill="1" applyBorder="1"/>
    <xf numFmtId="0" fontId="6" fillId="2" borderId="10" xfId="0" applyNumberFormat="1" applyFont="1" applyFill="1" applyBorder="1" applyAlignment="1">
      <alignment horizontal="left"/>
    </xf>
    <xf numFmtId="0" fontId="6" fillId="2" borderId="11" xfId="0" applyNumberFormat="1" applyFont="1" applyFill="1" applyBorder="1" applyAlignment="1">
      <alignment horizontal="left"/>
    </xf>
    <xf numFmtId="0" fontId="6" fillId="2" borderId="12" xfId="0" applyNumberFormat="1" applyFont="1" applyFill="1" applyBorder="1" applyAlignment="1">
      <alignment horizontal="left"/>
    </xf>
    <xf numFmtId="43" fontId="10" fillId="2" borderId="10" xfId="13" applyFont="1" applyFill="1" applyBorder="1" applyAlignment="1">
      <alignment horizontal="right"/>
    </xf>
    <xf numFmtId="43" fontId="10" fillId="2" borderId="11" xfId="13" applyFont="1" applyFill="1" applyBorder="1" applyAlignment="1">
      <alignment horizontal="right"/>
    </xf>
    <xf numFmtId="43" fontId="10" fillId="2" borderId="12" xfId="13" applyFont="1" applyFill="1" applyBorder="1" applyAlignment="1">
      <alignment horizontal="right"/>
    </xf>
    <xf numFmtId="10" fontId="6" fillId="2" borderId="10" xfId="5" applyNumberFormat="1" applyFont="1" applyFill="1" applyBorder="1" applyAlignment="1">
      <alignment horizontal="center"/>
    </xf>
    <xf numFmtId="10" fontId="6" fillId="2" borderId="11" xfId="5" applyNumberFormat="1" applyFont="1" applyFill="1" applyBorder="1" applyAlignment="1">
      <alignment horizontal="center"/>
    </xf>
    <xf numFmtId="10" fontId="6" fillId="2" borderId="12" xfId="5" applyNumberFormat="1" applyFont="1" applyFill="1" applyBorder="1" applyAlignment="1">
      <alignment horizontal="center"/>
    </xf>
    <xf numFmtId="10" fontId="6" fillId="0" borderId="10" xfId="1" applyNumberFormat="1" applyFont="1" applyFill="1" applyBorder="1" applyAlignment="1">
      <alignment horizontal="center"/>
    </xf>
    <xf numFmtId="10" fontId="6" fillId="0" borderId="11" xfId="1" applyNumberFormat="1" applyFont="1" applyFill="1" applyBorder="1" applyAlignment="1">
      <alignment horizontal="center"/>
    </xf>
    <xf numFmtId="10" fontId="6" fillId="0" borderId="12" xfId="1" applyNumberFormat="1" applyFont="1" applyFill="1" applyBorder="1" applyAlignment="1">
      <alignment horizontal="center"/>
    </xf>
    <xf numFmtId="0" fontId="6" fillId="0" borderId="0" xfId="1" applyNumberFormat="1" applyFont="1" applyFill="1" applyBorder="1" applyAlignment="1">
      <alignment horizontal="left" wrapText="1"/>
    </xf>
  </cellXfs>
  <cellStyles count="16">
    <cellStyle name="Euro" xfId="8"/>
    <cellStyle name="Moeda 2" xfId="12"/>
    <cellStyle name="Moeda 3" xfId="7"/>
    <cellStyle name="Moeda 5" xfId="15"/>
    <cellStyle name="Normal" xfId="0" builtinId="0"/>
    <cellStyle name="Normal 2" xfId="1"/>
    <cellStyle name="Normal 3" xfId="2"/>
    <cellStyle name="Normal 3 2" xfId="3"/>
    <cellStyle name="Normal 4" xfId="6"/>
    <cellStyle name="Porcentagem" xfId="5" builtinId="5"/>
    <cellStyle name="Porcentagem 2" xfId="9"/>
    <cellStyle name="Separador de milhares" xfId="4" builtinId="3"/>
    <cellStyle name="Separador de milhares 2" xfId="11"/>
    <cellStyle name="Separador de milhares 3" xfId="10"/>
    <cellStyle name="Separador de milhares 4" xfId="13"/>
    <cellStyle name="Separador de milhares 6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86"/>
  <sheetViews>
    <sheetView tabSelected="1" topLeftCell="A14" zoomScale="120" zoomScaleNormal="120" workbookViewId="0">
      <selection activeCell="S26" sqref="S26"/>
    </sheetView>
  </sheetViews>
  <sheetFormatPr defaultRowHeight="12.75"/>
  <cols>
    <col min="1" max="1" width="47.7109375" customWidth="1"/>
    <col min="3" max="3" width="26.28515625" customWidth="1"/>
    <col min="4" max="4" width="9.140625" hidden="1" customWidth="1"/>
    <col min="5" max="5" width="8.28515625" hidden="1" customWidth="1"/>
    <col min="6" max="6" width="14.85546875" customWidth="1"/>
    <col min="7" max="7" width="13.85546875" customWidth="1"/>
    <col min="8" max="8" width="15.5703125" customWidth="1"/>
    <col min="9" max="9" width="14" customWidth="1"/>
    <col min="10" max="10" width="14.7109375" customWidth="1"/>
    <col min="11" max="11" width="14.85546875" customWidth="1"/>
    <col min="12" max="12" width="14.7109375" customWidth="1"/>
    <col min="13" max="13" width="14.5703125" customWidth="1"/>
    <col min="14" max="14" width="14.85546875" customWidth="1"/>
    <col min="15" max="15" width="14.5703125" customWidth="1"/>
    <col min="16" max="16" width="15.28515625" customWidth="1"/>
    <col min="17" max="18" width="15.140625" customWidth="1"/>
    <col min="19" max="19" width="16.5703125" customWidth="1"/>
    <col min="20" max="20" width="17.7109375" style="5" bestFit="1" customWidth="1"/>
    <col min="22" max="22" width="21.42578125" customWidth="1"/>
    <col min="24" max="24" width="14" bestFit="1" customWidth="1"/>
  </cols>
  <sheetData>
    <row r="1" spans="1:19" ht="15.75" customHeight="1"/>
    <row r="3" spans="1:19" ht="11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1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11.25" customHeight="1">
      <c r="A6" s="69" t="s">
        <v>36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1"/>
      <c r="S6" s="71"/>
    </row>
    <row r="7" spans="1:19" ht="11.25" customHeight="1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1"/>
      <c r="S7" s="71"/>
    </row>
    <row r="8" spans="1:19" ht="11.25" customHeight="1">
      <c r="A8" s="87" t="s">
        <v>34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</row>
    <row r="9" spans="1:19" ht="11.25" customHeight="1">
      <c r="A9" s="87" t="s">
        <v>28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spans="1:19" ht="11.25" customHeight="1">
      <c r="A10" s="89" t="s">
        <v>0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1.25" customHeight="1">
      <c r="A11" s="90" t="s">
        <v>37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</row>
    <row r="12" spans="1:19" ht="11.25" customHeight="1">
      <c r="A12" s="89" t="s">
        <v>38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1.25" customHeight="1">
      <c r="A13" s="89" t="s">
        <v>80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1.25" customHeight="1">
      <c r="A14" s="6"/>
      <c r="B14" s="6"/>
      <c r="C14" s="6"/>
      <c r="D14" s="6"/>
      <c r="E14" s="6"/>
      <c r="F14" s="60"/>
      <c r="G14" s="60"/>
      <c r="H14" s="60"/>
      <c r="I14" s="60"/>
      <c r="J14" s="60"/>
      <c r="K14" s="60"/>
      <c r="L14" s="60"/>
      <c r="M14" s="60"/>
      <c r="N14" s="61"/>
      <c r="O14" s="61"/>
      <c r="P14" s="61"/>
      <c r="Q14" s="61"/>
      <c r="R14" s="6"/>
      <c r="S14" s="6"/>
    </row>
    <row r="15" spans="1:19">
      <c r="A15" s="6" t="s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">
        <v>1</v>
      </c>
    </row>
    <row r="16" spans="1:19">
      <c r="A16" s="8"/>
      <c r="B16" s="9"/>
      <c r="C16" s="9"/>
      <c r="D16" s="9"/>
      <c r="E16" s="10"/>
      <c r="F16" s="91" t="s">
        <v>3</v>
      </c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3"/>
    </row>
    <row r="17" spans="1:22">
      <c r="A17" s="59"/>
      <c r="B17" s="11"/>
      <c r="C17" s="11"/>
      <c r="D17" s="11"/>
      <c r="E17" s="12"/>
      <c r="F17" s="94" t="s">
        <v>4</v>
      </c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6"/>
    </row>
    <row r="18" spans="1:22">
      <c r="A18" s="97" t="s">
        <v>2</v>
      </c>
      <c r="B18" s="98"/>
      <c r="C18" s="98"/>
      <c r="D18" s="98"/>
      <c r="E18" s="99"/>
      <c r="F18" s="100" t="s">
        <v>5</v>
      </c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2"/>
      <c r="S18" s="13" t="s">
        <v>6</v>
      </c>
    </row>
    <row r="19" spans="1:22">
      <c r="A19" s="59"/>
      <c r="B19" s="11"/>
      <c r="C19" s="11"/>
      <c r="D19" s="11"/>
      <c r="E19" s="12"/>
      <c r="F19" s="79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3" t="s">
        <v>7</v>
      </c>
      <c r="S19" s="13" t="s">
        <v>8</v>
      </c>
    </row>
    <row r="20" spans="1:22">
      <c r="A20" s="59"/>
      <c r="B20" s="11"/>
      <c r="C20" s="11"/>
      <c r="D20" s="11"/>
      <c r="E20" s="12"/>
      <c r="F20" s="80" t="s">
        <v>63</v>
      </c>
      <c r="G20" s="14" t="s">
        <v>62</v>
      </c>
      <c r="H20" s="14" t="s">
        <v>64</v>
      </c>
      <c r="I20" s="14" t="s">
        <v>65</v>
      </c>
      <c r="J20" s="14" t="s">
        <v>70</v>
      </c>
      <c r="K20" s="14" t="s">
        <v>71</v>
      </c>
      <c r="L20" s="14" t="s">
        <v>72</v>
      </c>
      <c r="M20" s="14" t="s">
        <v>73</v>
      </c>
      <c r="N20" s="14" t="s">
        <v>75</v>
      </c>
      <c r="O20" s="14" t="s">
        <v>76</v>
      </c>
      <c r="P20" s="14" t="s">
        <v>77</v>
      </c>
      <c r="Q20" s="14" t="s">
        <v>78</v>
      </c>
      <c r="R20" s="13" t="s">
        <v>9</v>
      </c>
      <c r="S20" s="13" t="s">
        <v>10</v>
      </c>
    </row>
    <row r="21" spans="1:22">
      <c r="A21" s="97"/>
      <c r="B21" s="98"/>
      <c r="C21" s="98"/>
      <c r="D21" s="98"/>
      <c r="E21" s="99"/>
      <c r="F21" s="81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5" t="s">
        <v>11</v>
      </c>
      <c r="S21" s="15" t="s">
        <v>12</v>
      </c>
    </row>
    <row r="22" spans="1:22">
      <c r="A22" s="16"/>
      <c r="B22" s="17"/>
      <c r="C22" s="17"/>
      <c r="D22" s="17"/>
      <c r="E22" s="18"/>
      <c r="F22" s="82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9" t="s">
        <v>13</v>
      </c>
      <c r="S22" s="19" t="s">
        <v>14</v>
      </c>
    </row>
    <row r="23" spans="1:22">
      <c r="A23" s="20" t="s">
        <v>15</v>
      </c>
      <c r="B23" s="21"/>
      <c r="C23" s="21"/>
      <c r="D23" s="21"/>
      <c r="E23" s="22"/>
      <c r="F23" s="2">
        <f>F24+F27+F30+F31</f>
        <v>80021254.949999988</v>
      </c>
      <c r="G23" s="2">
        <f t="shared" ref="G23:H23" si="0">G24+G27+G30+G31</f>
        <v>105166941.13</v>
      </c>
      <c r="H23" s="2">
        <f t="shared" si="0"/>
        <v>95339332.960000008</v>
      </c>
      <c r="I23" s="2">
        <f>I24+I27+I30+I31</f>
        <v>79808009.159999996</v>
      </c>
      <c r="J23" s="2">
        <f>J24+J27+J30+J31</f>
        <v>83703390.299999997</v>
      </c>
      <c r="K23" s="2">
        <f t="shared" ref="K23:L23" si="1">K24+K27+K30+K31</f>
        <v>80568542.980000004</v>
      </c>
      <c r="L23" s="2">
        <f t="shared" si="1"/>
        <v>103367673.23999999</v>
      </c>
      <c r="M23" s="2">
        <f>M24+M27+M30+M31</f>
        <v>101639608.22999999</v>
      </c>
      <c r="N23" s="2">
        <f>N24+N27+N30+N31</f>
        <v>78205444.019999996</v>
      </c>
      <c r="O23" s="2">
        <f t="shared" ref="O23:P23" si="2">O24+O27+O30+O31</f>
        <v>81416486.469999999</v>
      </c>
      <c r="P23" s="2">
        <f t="shared" si="2"/>
        <v>90174140.129999995</v>
      </c>
      <c r="Q23" s="2">
        <f>Q24+Q27+Q30+Q31</f>
        <v>84232683.049999997</v>
      </c>
      <c r="R23" s="2">
        <f>R24+R27+R30+R31</f>
        <v>1063643506.6199999</v>
      </c>
      <c r="S23" s="57">
        <f>S24+S27+S30+S31</f>
        <v>22570023.32</v>
      </c>
      <c r="T23" s="24"/>
      <c r="V23" s="5"/>
    </row>
    <row r="24" spans="1:22">
      <c r="A24" s="46" t="s">
        <v>16</v>
      </c>
      <c r="B24" s="4"/>
      <c r="C24" s="4"/>
      <c r="D24" s="4"/>
      <c r="E24" s="26"/>
      <c r="F24" s="2">
        <f>SUM(F25:F26)</f>
        <v>49783657.149999991</v>
      </c>
      <c r="G24" s="2">
        <f t="shared" ref="G24:I24" si="3">SUM(G25:G26)</f>
        <v>75148655.859999999</v>
      </c>
      <c r="H24" s="2">
        <f t="shared" si="3"/>
        <v>50407462.540000007</v>
      </c>
      <c r="I24" s="2">
        <f t="shared" si="3"/>
        <v>49910358.719999999</v>
      </c>
      <c r="J24" s="2">
        <f>SUM(J25:J26)</f>
        <v>53819325.75</v>
      </c>
      <c r="K24" s="2">
        <f t="shared" ref="K24:M24" si="4">SUM(K25:K26)</f>
        <v>50727583.030000001</v>
      </c>
      <c r="L24" s="2">
        <f t="shared" si="4"/>
        <v>73238490.939999998</v>
      </c>
      <c r="M24" s="2">
        <f t="shared" si="4"/>
        <v>57050821.089999996</v>
      </c>
      <c r="N24" s="2">
        <f>SUM(N25:N26)</f>
        <v>46879581.489999995</v>
      </c>
      <c r="O24" s="2">
        <f t="shared" ref="O24:Q24" si="5">SUM(O25:O26)</f>
        <v>54392515.640000001</v>
      </c>
      <c r="P24" s="2">
        <f t="shared" si="5"/>
        <v>52373489.799999997</v>
      </c>
      <c r="Q24" s="2">
        <f t="shared" si="5"/>
        <v>52462207.329999998</v>
      </c>
      <c r="R24" s="2">
        <f>SUM(R25:R26)</f>
        <v>666194149.33999991</v>
      </c>
      <c r="S24" s="56">
        <f>SUM(S25:S26)</f>
        <v>22570023.32</v>
      </c>
      <c r="V24" s="5"/>
    </row>
    <row r="25" spans="1:22">
      <c r="A25" s="25" t="s">
        <v>39</v>
      </c>
      <c r="B25" s="4"/>
      <c r="C25" s="4"/>
      <c r="D25" s="4"/>
      <c r="E25" s="26"/>
      <c r="F25" s="62">
        <f>28881082.79+7167344.55+252023.18+112691.46+189217.91</f>
        <v>36602359.889999993</v>
      </c>
      <c r="G25" s="23">
        <f>49445374.51+7024582.05+83947.99+10413.06+1065179.76</f>
        <v>57629497.369999997</v>
      </c>
      <c r="H25" s="48">
        <f>28768627.72+7067894.81+99773.6+37849.23+1249495.13</f>
        <v>37223640.490000002</v>
      </c>
      <c r="I25" s="63">
        <f>28732933.17+7251025.72+143401.22+21897.55+632437.07</f>
        <v>36781694.729999997</v>
      </c>
      <c r="J25" s="62">
        <f>31410786.53+7272567.05+1270720.68+44447.14+48236.36</f>
        <v>40046757.759999998</v>
      </c>
      <c r="K25" s="23">
        <f>29093149.7+7160385.48+61097.71+87472.98+1106217.07</f>
        <v>37508322.939999998</v>
      </c>
      <c r="L25" s="48">
        <f>51534439.63+7252038.83+142027.8+12026.83+1123350.98</f>
        <v>60063884.069999993</v>
      </c>
      <c r="M25" s="63">
        <f>31461257.8+7163254.95+70660.56+78849.73+34469.29</f>
        <v>38808492.329999998</v>
      </c>
      <c r="N25" s="62">
        <f>30320754.14+7415576.21+14943.87</f>
        <v>37751274.219999999</v>
      </c>
      <c r="O25" s="23">
        <f>31544657.45+7581229.24+734093.35+17184.04+9062.89</f>
        <v>39886226.969999999</v>
      </c>
      <c r="P25" s="48">
        <f>30497596.93+7726043.3+205419.88+165425.94+304592.21</f>
        <v>38899078.259999998</v>
      </c>
      <c r="Q25" s="63">
        <f>30356532.28+7553613.09+214961.03+79185.05+792951.01</f>
        <v>38997242.460000001</v>
      </c>
      <c r="R25" s="3">
        <f>SUM(F25:Q25)</f>
        <v>500198471.48999995</v>
      </c>
      <c r="S25" s="56">
        <f>9559665.69+589102.8+3369732.17+1217440.33+2540948.28</f>
        <v>17276889.27</v>
      </c>
      <c r="V25" s="5"/>
    </row>
    <row r="26" spans="1:22" s="30" customFormat="1">
      <c r="A26" s="25" t="s">
        <v>40</v>
      </c>
      <c r="B26" s="4"/>
      <c r="C26" s="4"/>
      <c r="D26" s="4"/>
      <c r="E26" s="26"/>
      <c r="F26" s="64">
        <f>4291957.81+8889339.45</f>
        <v>13181297.259999998</v>
      </c>
      <c r="G26" s="54">
        <f>4282516.69+13236641.8</f>
        <v>17519158.490000002</v>
      </c>
      <c r="H26" s="52">
        <f>4322810.67+8861011.38</f>
        <v>13183822.050000001</v>
      </c>
      <c r="I26" s="53">
        <f>4260795.2+8867868.79</f>
        <v>13128663.989999998</v>
      </c>
      <c r="J26" s="64">
        <f>4294215+9478352.99</f>
        <v>13772567.99</v>
      </c>
      <c r="K26" s="54">
        <f>4326145.65+8893114.44</f>
        <v>13219260.09</v>
      </c>
      <c r="L26" s="52">
        <f>4336708.46+8837898.41</f>
        <v>13174606.870000001</v>
      </c>
      <c r="M26" s="53">
        <f>8602163.79+9640164.97</f>
        <v>18242328.759999998</v>
      </c>
      <c r="N26" s="64">
        <v>9128307.2699999996</v>
      </c>
      <c r="O26" s="54">
        <f>4612022.37+9894266.3</f>
        <v>14506288.670000002</v>
      </c>
      <c r="P26" s="52">
        <f>4598627.69+8875783.85</f>
        <v>13474411.539999999</v>
      </c>
      <c r="Q26" s="53">
        <f>4550460.24+8914504.63</f>
        <v>13464964.870000001</v>
      </c>
      <c r="R26" s="55">
        <f>SUM(F26:Q26)</f>
        <v>165995677.84999999</v>
      </c>
      <c r="S26" s="56">
        <f>5293134.05</f>
        <v>5293134.05</v>
      </c>
      <c r="T26" s="29"/>
      <c r="V26" s="29"/>
    </row>
    <row r="27" spans="1:22">
      <c r="A27" s="46" t="s">
        <v>17</v>
      </c>
      <c r="B27" s="4"/>
      <c r="C27" s="4"/>
      <c r="D27" s="4"/>
      <c r="E27" s="26"/>
      <c r="F27" s="49">
        <f>SUM(F28:F29)</f>
        <v>30237597.800000001</v>
      </c>
      <c r="G27" s="49">
        <f t="shared" ref="G27:I27" si="6">SUM(G28:G29)</f>
        <v>30018285.27</v>
      </c>
      <c r="H27" s="49">
        <f t="shared" si="6"/>
        <v>44931870.420000002</v>
      </c>
      <c r="I27" s="49">
        <f t="shared" si="6"/>
        <v>29897650.439999998</v>
      </c>
      <c r="J27" s="49">
        <f>SUM(J28:J29)</f>
        <v>29884064.549999997</v>
      </c>
      <c r="K27" s="49">
        <f t="shared" ref="K27:M27" si="7">SUM(K28:K29)</f>
        <v>29840959.950000003</v>
      </c>
      <c r="L27" s="49">
        <f t="shared" si="7"/>
        <v>30129182.300000001</v>
      </c>
      <c r="M27" s="49">
        <f t="shared" si="7"/>
        <v>44588787.140000001</v>
      </c>
      <c r="N27" s="49">
        <f>SUM(N28:N29)</f>
        <v>31325862.530000001</v>
      </c>
      <c r="O27" s="49">
        <f t="shared" ref="O27:Q27" si="8">SUM(O28:O29)</f>
        <v>27023970.829999998</v>
      </c>
      <c r="P27" s="49">
        <f t="shared" si="8"/>
        <v>37800650.329999998</v>
      </c>
      <c r="Q27" s="49">
        <f t="shared" si="8"/>
        <v>31770475.719999999</v>
      </c>
      <c r="R27" s="3">
        <f>SUM(R28:R29)</f>
        <v>397449357.27999997</v>
      </c>
      <c r="S27" s="56">
        <f t="shared" ref="S27" si="9">SUM(S28:S29)</f>
        <v>0</v>
      </c>
      <c r="V27" s="5"/>
    </row>
    <row r="28" spans="1:22">
      <c r="A28" s="25" t="s">
        <v>79</v>
      </c>
      <c r="B28" s="4"/>
      <c r="C28" s="4"/>
      <c r="D28" s="4"/>
      <c r="E28" s="26"/>
      <c r="F28" s="63">
        <v>23455165.41</v>
      </c>
      <c r="G28" s="63">
        <v>23449939.579999998</v>
      </c>
      <c r="H28" s="63">
        <v>34848709.619999997</v>
      </c>
      <c r="I28" s="63">
        <v>23290363.809999999</v>
      </c>
      <c r="J28" s="63">
        <v>23327939.129999999</v>
      </c>
      <c r="K28" s="63">
        <v>23245148.530000001</v>
      </c>
      <c r="L28" s="63">
        <v>23208410.050000001</v>
      </c>
      <c r="M28" s="63">
        <v>34894682.640000001</v>
      </c>
      <c r="N28" s="63">
        <v>24512451.82</v>
      </c>
      <c r="O28" s="63">
        <v>20165848.109999999</v>
      </c>
      <c r="P28" s="63">
        <v>30721468.02</v>
      </c>
      <c r="Q28" s="63">
        <v>24573086.07</v>
      </c>
      <c r="R28" s="3">
        <f>SUM(F28:Q28)</f>
        <v>309693212.78999996</v>
      </c>
      <c r="S28" s="56">
        <v>0</v>
      </c>
      <c r="V28" s="5"/>
    </row>
    <row r="29" spans="1:22">
      <c r="A29" s="25" t="s">
        <v>41</v>
      </c>
      <c r="B29" s="4"/>
      <c r="C29" s="4"/>
      <c r="D29" s="4"/>
      <c r="E29" s="26"/>
      <c r="F29" s="23">
        <v>6782432.3900000006</v>
      </c>
      <c r="G29" s="23">
        <v>6568345.6900000004</v>
      </c>
      <c r="H29" s="23">
        <v>10083160.800000001</v>
      </c>
      <c r="I29" s="23">
        <v>6607286.6299999999</v>
      </c>
      <c r="J29" s="23">
        <v>6556125.4199999999</v>
      </c>
      <c r="K29" s="23">
        <v>6595811.4199999999</v>
      </c>
      <c r="L29" s="23">
        <v>6920772.25</v>
      </c>
      <c r="M29" s="23">
        <v>9694104.5</v>
      </c>
      <c r="N29" s="23">
        <v>6813410.71</v>
      </c>
      <c r="O29" s="23">
        <v>6858122.7199999997</v>
      </c>
      <c r="P29" s="23">
        <v>7079182.3099999996</v>
      </c>
      <c r="Q29" s="23">
        <v>7197389.6500000004</v>
      </c>
      <c r="R29" s="3">
        <f>SUM(F29:Q29)</f>
        <v>87756144.49000001</v>
      </c>
      <c r="S29" s="56">
        <v>0</v>
      </c>
      <c r="V29" s="5"/>
    </row>
    <row r="30" spans="1:22">
      <c r="A30" s="46" t="s">
        <v>42</v>
      </c>
      <c r="B30" s="47"/>
      <c r="C30" s="47"/>
      <c r="D30" s="4"/>
      <c r="E30" s="26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3">
        <f t="shared" ref="R30" si="10">SUM(F30:Q30)</f>
        <v>0</v>
      </c>
      <c r="S30" s="56">
        <v>0</v>
      </c>
      <c r="V30" s="5"/>
    </row>
    <row r="31" spans="1:22">
      <c r="A31" s="46" t="s">
        <v>53</v>
      </c>
      <c r="B31" s="4"/>
      <c r="C31" s="4"/>
      <c r="D31" s="4"/>
      <c r="E31" s="26"/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3">
        <f>SUM(F31:Q31)</f>
        <v>0</v>
      </c>
      <c r="S31" s="56">
        <v>0</v>
      </c>
      <c r="V31" s="5"/>
    </row>
    <row r="32" spans="1:22">
      <c r="A32" s="27" t="s">
        <v>43</v>
      </c>
      <c r="B32" s="4"/>
      <c r="C32" s="4"/>
      <c r="D32" s="4"/>
      <c r="E32" s="26"/>
      <c r="F32" s="50">
        <f>SUM(F33:F36)</f>
        <v>17675581.66</v>
      </c>
      <c r="G32" s="50">
        <f t="shared" ref="G32:I32" si="11">SUM(G33:G36)</f>
        <v>30112646.32</v>
      </c>
      <c r="H32" s="50">
        <f t="shared" si="11"/>
        <v>45069493.25</v>
      </c>
      <c r="I32" s="50">
        <f t="shared" si="11"/>
        <v>30062949.209999997</v>
      </c>
      <c r="J32" s="50">
        <f>SUM(J33:J36)</f>
        <v>31199232.370000001</v>
      </c>
      <c r="K32" s="50">
        <f t="shared" ref="K32:M32" si="12">SUM(K33:K36)</f>
        <v>29989530.640000001</v>
      </c>
      <c r="L32" s="50">
        <f t="shared" si="12"/>
        <v>30283236.93</v>
      </c>
      <c r="M32" s="50">
        <f t="shared" si="12"/>
        <v>44738297.43</v>
      </c>
      <c r="N32" s="50">
        <f>SUM(N33:N36)</f>
        <v>31340806.400000002</v>
      </c>
      <c r="O32" s="50">
        <f t="shared" ref="O32:Q32" si="13">SUM(O33:O36)</f>
        <v>27775248.219999999</v>
      </c>
      <c r="P32" s="50">
        <f t="shared" si="13"/>
        <v>32171496.149999999</v>
      </c>
      <c r="Q32" s="50">
        <f t="shared" si="13"/>
        <v>24003654.259999998</v>
      </c>
      <c r="R32" s="3">
        <f>SUM(R33:R36)</f>
        <v>374422172.83999997</v>
      </c>
      <c r="S32" s="56">
        <f>SUM(S33:S36)</f>
        <v>4587172.5</v>
      </c>
      <c r="T32" s="24"/>
      <c r="V32" s="5"/>
    </row>
    <row r="33" spans="1:24">
      <c r="A33" s="28" t="s">
        <v>18</v>
      </c>
      <c r="B33" s="4"/>
      <c r="C33" s="4"/>
      <c r="D33" s="4"/>
      <c r="E33" s="26"/>
      <c r="F33" s="50">
        <f>112691.46</f>
        <v>112691.46</v>
      </c>
      <c r="G33" s="23">
        <f>10413.06</f>
        <v>10413.06</v>
      </c>
      <c r="H33" s="23">
        <f>37849.23</f>
        <v>37849.230000000003</v>
      </c>
      <c r="I33" s="50">
        <f>21897.55</f>
        <v>21897.55</v>
      </c>
      <c r="J33" s="50">
        <f>44447.14</f>
        <v>44447.14</v>
      </c>
      <c r="K33" s="23">
        <f>87472.98</f>
        <v>87472.98</v>
      </c>
      <c r="L33" s="23">
        <f>12026.83</f>
        <v>12026.83</v>
      </c>
      <c r="M33" s="50">
        <f>78849.73</f>
        <v>78849.73</v>
      </c>
      <c r="N33" s="50">
        <v>0</v>
      </c>
      <c r="O33" s="23">
        <f>17184.04</f>
        <v>17184.04</v>
      </c>
      <c r="P33" s="23">
        <f>165425.94</f>
        <v>165425.94</v>
      </c>
      <c r="Q33" s="50">
        <f>79185.05</f>
        <v>79185.05</v>
      </c>
      <c r="R33" s="3">
        <f t="shared" ref="R33:R36" si="14">SUM(F33:Q33)</f>
        <v>667443.01</v>
      </c>
      <c r="S33" s="56">
        <f>1217440.33</f>
        <v>1217440.33</v>
      </c>
      <c r="V33" s="5"/>
    </row>
    <row r="34" spans="1:24" s="30" customFormat="1">
      <c r="A34" s="28" t="s">
        <v>44</v>
      </c>
      <c r="B34" s="4"/>
      <c r="C34" s="4"/>
      <c r="D34" s="4"/>
      <c r="E34" s="26"/>
      <c r="F34" s="65"/>
      <c r="G34" s="23"/>
      <c r="H34" s="23"/>
      <c r="I34" s="23"/>
      <c r="J34" s="65"/>
      <c r="K34" s="23"/>
      <c r="L34" s="23"/>
      <c r="M34" s="23"/>
      <c r="N34" s="65"/>
      <c r="O34" s="23"/>
      <c r="P34" s="23"/>
      <c r="Q34" s="23"/>
      <c r="R34" s="3">
        <f t="shared" si="14"/>
        <v>0</v>
      </c>
      <c r="S34" s="56">
        <v>0</v>
      </c>
      <c r="T34" s="29"/>
      <c r="V34" s="29"/>
    </row>
    <row r="35" spans="1:24" s="30" customFormat="1">
      <c r="A35" s="28" t="s">
        <v>19</v>
      </c>
      <c r="B35" s="4"/>
      <c r="C35" s="4"/>
      <c r="D35" s="4"/>
      <c r="E35" s="26"/>
      <c r="F35" s="50">
        <f>252023.18</f>
        <v>252023.18</v>
      </c>
      <c r="G35" s="23">
        <v>83947.99</v>
      </c>
      <c r="H35" s="23">
        <f>99773.6</f>
        <v>99773.6</v>
      </c>
      <c r="I35" s="23">
        <v>143401.22</v>
      </c>
      <c r="J35" s="50">
        <f>1270720.68</f>
        <v>1270720.68</v>
      </c>
      <c r="K35" s="23">
        <v>61097.71</v>
      </c>
      <c r="L35" s="23">
        <f>142027.8</f>
        <v>142027.79999999999</v>
      </c>
      <c r="M35" s="23">
        <f>70660.56</f>
        <v>70660.56</v>
      </c>
      <c r="N35" s="50">
        <f>14943.87</f>
        <v>14943.87</v>
      </c>
      <c r="O35" s="23">
        <f>734093.35</f>
        <v>734093.35</v>
      </c>
      <c r="P35" s="23">
        <f>205419.88</f>
        <v>205419.88</v>
      </c>
      <c r="Q35" s="23">
        <f>214961.03</f>
        <v>214961.03</v>
      </c>
      <c r="R35" s="3">
        <f t="shared" si="14"/>
        <v>3293070.8699999996</v>
      </c>
      <c r="S35" s="56">
        <f>3369732.17</f>
        <v>3369732.17</v>
      </c>
      <c r="T35" s="29"/>
    </row>
    <row r="36" spans="1:24" s="30" customFormat="1">
      <c r="A36" s="31" t="s">
        <v>20</v>
      </c>
      <c r="B36" s="32"/>
      <c r="C36" s="32"/>
      <c r="D36" s="32"/>
      <c r="E36" s="33"/>
      <c r="F36" s="67">
        <v>17310867.02</v>
      </c>
      <c r="G36" s="23">
        <v>30018285.27</v>
      </c>
      <c r="H36" s="23">
        <v>44931870.420000002</v>
      </c>
      <c r="I36" s="23">
        <v>29897650.439999998</v>
      </c>
      <c r="J36" s="67">
        <v>29884064.550000001</v>
      </c>
      <c r="K36" s="23">
        <v>29840959.949999999</v>
      </c>
      <c r="L36" s="23">
        <v>30129182.300000001</v>
      </c>
      <c r="M36" s="23">
        <v>44588787.140000001</v>
      </c>
      <c r="N36" s="67">
        <v>31325862.530000001</v>
      </c>
      <c r="O36" s="23">
        <v>27023970.829999998</v>
      </c>
      <c r="P36" s="23">
        <v>31800650.329999998</v>
      </c>
      <c r="Q36" s="23">
        <v>23709508.18</v>
      </c>
      <c r="R36" s="3">
        <f t="shared" si="14"/>
        <v>370461658.95999998</v>
      </c>
      <c r="S36" s="56">
        <v>0</v>
      </c>
      <c r="T36" s="29"/>
    </row>
    <row r="37" spans="1:24" s="30" customFormat="1">
      <c r="A37" s="34" t="s">
        <v>21</v>
      </c>
      <c r="B37" s="35"/>
      <c r="C37" s="35"/>
      <c r="D37" s="35"/>
      <c r="E37" s="36"/>
      <c r="F37" s="68">
        <f t="shared" ref="F37:G37" si="15">F23-F32</f>
        <v>62345673.289999992</v>
      </c>
      <c r="G37" s="68">
        <f t="shared" si="15"/>
        <v>75054294.810000002</v>
      </c>
      <c r="H37" s="68">
        <f>H23-H32</f>
        <v>50269839.710000008</v>
      </c>
      <c r="I37" s="68">
        <f>I23-I32</f>
        <v>49745059.950000003</v>
      </c>
      <c r="J37" s="68">
        <f t="shared" ref="J37:K37" si="16">J23-J32</f>
        <v>52504157.929999992</v>
      </c>
      <c r="K37" s="68">
        <f t="shared" si="16"/>
        <v>50579012.340000004</v>
      </c>
      <c r="L37" s="68">
        <f>L23-L32</f>
        <v>73084436.310000002</v>
      </c>
      <c r="M37" s="68">
        <f>M23-M32</f>
        <v>56901310.79999999</v>
      </c>
      <c r="N37" s="68">
        <f t="shared" ref="N37:O37" si="17">N23-N32</f>
        <v>46864637.61999999</v>
      </c>
      <c r="O37" s="68">
        <f t="shared" si="17"/>
        <v>53641238.25</v>
      </c>
      <c r="P37" s="68">
        <f>P23-P32</f>
        <v>58002643.979999997</v>
      </c>
      <c r="Q37" s="68">
        <f>Q23-Q32</f>
        <v>60229028.789999999</v>
      </c>
      <c r="R37" s="68">
        <f>R23-R32</f>
        <v>689221333.77999997</v>
      </c>
      <c r="S37" s="68">
        <f>S23-S32</f>
        <v>17982850.82</v>
      </c>
      <c r="T37" s="37"/>
      <c r="V37" s="44"/>
    </row>
    <row r="38" spans="1:24" s="30" customFormat="1">
      <c r="A38" s="35"/>
      <c r="B38" s="35"/>
      <c r="C38" s="35"/>
      <c r="D38" s="35"/>
      <c r="E38" s="35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38"/>
      <c r="S38" s="38"/>
      <c r="T38" s="29"/>
      <c r="V38" s="45"/>
    </row>
    <row r="39" spans="1:24" s="30" customFormat="1">
      <c r="A39" s="100" t="s">
        <v>22</v>
      </c>
      <c r="B39" s="101"/>
      <c r="C39" s="101"/>
      <c r="D39" s="101"/>
      <c r="E39" s="101"/>
      <c r="F39" s="101"/>
      <c r="G39" s="101"/>
      <c r="H39" s="101"/>
      <c r="I39" s="102"/>
      <c r="J39" s="103" t="s">
        <v>23</v>
      </c>
      <c r="K39" s="104"/>
      <c r="L39" s="104"/>
      <c r="M39" s="104"/>
      <c r="N39" s="104"/>
      <c r="O39" s="104"/>
      <c r="P39" s="105"/>
      <c r="Q39" s="103" t="s">
        <v>24</v>
      </c>
      <c r="R39" s="104"/>
      <c r="S39" s="105"/>
      <c r="T39" s="29"/>
      <c r="V39" s="45"/>
      <c r="X39" s="44">
        <f>T38+T40+T46</f>
        <v>0</v>
      </c>
    </row>
    <row r="40" spans="1:24" s="30" customFormat="1">
      <c r="A40" s="106" t="s">
        <v>25</v>
      </c>
      <c r="B40" s="107"/>
      <c r="C40" s="107"/>
      <c r="D40" s="107"/>
      <c r="E40" s="107"/>
      <c r="F40" s="107"/>
      <c r="G40" s="107"/>
      <c r="H40" s="107"/>
      <c r="I40" s="108"/>
      <c r="J40" s="109">
        <v>37502323367.779999</v>
      </c>
      <c r="K40" s="110"/>
      <c r="L40" s="110"/>
      <c r="M40" s="110"/>
      <c r="N40" s="110"/>
      <c r="O40" s="110"/>
      <c r="P40" s="111"/>
      <c r="Q40" s="83">
        <v>0</v>
      </c>
      <c r="R40" s="84"/>
      <c r="S40" s="85"/>
      <c r="T40" s="29"/>
      <c r="V40" s="45"/>
      <c r="X40" s="44">
        <f>T39</f>
        <v>0</v>
      </c>
    </row>
    <row r="41" spans="1:24" s="30" customFormat="1">
      <c r="A41" s="112" t="s">
        <v>56</v>
      </c>
      <c r="B41" s="113"/>
      <c r="C41" s="113"/>
      <c r="D41" s="113"/>
      <c r="E41" s="113"/>
      <c r="F41" s="113"/>
      <c r="G41" s="113"/>
      <c r="H41" s="113"/>
      <c r="I41" s="114"/>
      <c r="J41" s="115">
        <v>20333788.030000001</v>
      </c>
      <c r="K41" s="116"/>
      <c r="L41" s="116"/>
      <c r="M41" s="116"/>
      <c r="N41" s="116"/>
      <c r="O41" s="116"/>
      <c r="P41" s="117"/>
      <c r="Q41" s="83">
        <v>0</v>
      </c>
      <c r="R41" s="84"/>
      <c r="S41" s="85"/>
      <c r="T41" s="29"/>
      <c r="V41" s="45"/>
    </row>
    <row r="42" spans="1:24" s="30" customFormat="1">
      <c r="A42" s="112" t="s">
        <v>57</v>
      </c>
      <c r="B42" s="113"/>
      <c r="C42" s="113"/>
      <c r="D42" s="113"/>
      <c r="E42" s="113"/>
      <c r="F42" s="113"/>
      <c r="G42" s="113"/>
      <c r="H42" s="113"/>
      <c r="I42" s="114"/>
      <c r="J42" s="83">
        <v>17854147</v>
      </c>
      <c r="K42" s="84"/>
      <c r="L42" s="84"/>
      <c r="M42" s="84"/>
      <c r="N42" s="84"/>
      <c r="O42" s="84"/>
      <c r="P42" s="85"/>
      <c r="Q42" s="83">
        <v>0</v>
      </c>
      <c r="R42" s="84"/>
      <c r="S42" s="85"/>
      <c r="T42" s="29"/>
      <c r="V42" s="45"/>
    </row>
    <row r="43" spans="1:24" s="30" customFormat="1">
      <c r="A43" s="75" t="s">
        <v>58</v>
      </c>
      <c r="B43" s="76"/>
      <c r="C43" s="76"/>
      <c r="D43" s="76"/>
      <c r="E43" s="76"/>
      <c r="F43" s="76"/>
      <c r="G43" s="76"/>
      <c r="H43" s="76"/>
      <c r="I43" s="77"/>
      <c r="J43" s="83">
        <v>393936070</v>
      </c>
      <c r="K43" s="84"/>
      <c r="L43" s="84"/>
      <c r="M43" s="84"/>
      <c r="N43" s="84"/>
      <c r="O43" s="84"/>
      <c r="P43" s="85"/>
      <c r="Q43" s="72"/>
      <c r="R43" s="73"/>
      <c r="S43" s="74"/>
      <c r="T43" s="29"/>
      <c r="V43" s="45"/>
    </row>
    <row r="44" spans="1:24" s="30" customFormat="1">
      <c r="A44" s="75" t="s">
        <v>59</v>
      </c>
      <c r="B44" s="76"/>
      <c r="C44" s="76"/>
      <c r="D44" s="76"/>
      <c r="E44" s="76"/>
      <c r="F44" s="76"/>
      <c r="G44" s="76"/>
      <c r="H44" s="76"/>
      <c r="I44" s="77"/>
      <c r="J44" s="83">
        <v>0</v>
      </c>
      <c r="K44" s="84"/>
      <c r="L44" s="84"/>
      <c r="M44" s="84"/>
      <c r="N44" s="84"/>
      <c r="O44" s="84"/>
      <c r="P44" s="85"/>
      <c r="Q44" s="72"/>
      <c r="R44" s="73"/>
      <c r="S44" s="74"/>
      <c r="T44" s="29"/>
      <c r="V44" s="45"/>
    </row>
    <row r="45" spans="1:24" s="30" customFormat="1">
      <c r="A45" s="121" t="s">
        <v>26</v>
      </c>
      <c r="B45" s="122"/>
      <c r="C45" s="122"/>
      <c r="D45" s="122"/>
      <c r="E45" s="122"/>
      <c r="F45" s="122"/>
      <c r="G45" s="122"/>
      <c r="H45" s="122"/>
      <c r="I45" s="123"/>
      <c r="J45" s="124">
        <f>J40-J41-J42-J43-J44</f>
        <v>37070199362.75</v>
      </c>
      <c r="K45" s="125"/>
      <c r="L45" s="125"/>
      <c r="M45" s="125"/>
      <c r="N45" s="125"/>
      <c r="O45" s="125"/>
      <c r="P45" s="126"/>
      <c r="Q45" s="83">
        <v>0</v>
      </c>
      <c r="R45" s="84"/>
      <c r="S45" s="85"/>
      <c r="T45" s="29"/>
      <c r="V45" s="45"/>
    </row>
    <row r="46" spans="1:24" s="30" customFormat="1">
      <c r="A46" s="127" t="s">
        <v>45</v>
      </c>
      <c r="B46" s="128"/>
      <c r="C46" s="128"/>
      <c r="D46" s="128"/>
      <c r="E46" s="128"/>
      <c r="F46" s="128"/>
      <c r="G46" s="128"/>
      <c r="H46" s="128"/>
      <c r="I46" s="129"/>
      <c r="J46" s="130">
        <f>R37+S37</f>
        <v>707204184.60000002</v>
      </c>
      <c r="K46" s="131"/>
      <c r="L46" s="131"/>
      <c r="M46" s="131"/>
      <c r="N46" s="131"/>
      <c r="O46" s="131"/>
      <c r="P46" s="132"/>
      <c r="Q46" s="133">
        <f>J46/J45</f>
        <v>1.9077431380383519E-2</v>
      </c>
      <c r="R46" s="134"/>
      <c r="S46" s="135"/>
      <c r="T46" s="29"/>
    </row>
    <row r="47" spans="1:24" s="30" customFormat="1">
      <c r="A47" s="106" t="s">
        <v>46</v>
      </c>
      <c r="B47" s="107"/>
      <c r="C47" s="107"/>
      <c r="D47" s="107"/>
      <c r="E47" s="107"/>
      <c r="F47" s="107"/>
      <c r="G47" s="107"/>
      <c r="H47" s="107"/>
      <c r="I47" s="108"/>
      <c r="J47" s="109">
        <f>J45*0.0455</f>
        <v>1686694071.005125</v>
      </c>
      <c r="K47" s="110"/>
      <c r="L47" s="110"/>
      <c r="M47" s="110"/>
      <c r="N47" s="110"/>
      <c r="O47" s="110"/>
      <c r="P47" s="111"/>
      <c r="Q47" s="118">
        <v>4.5499999999999999E-2</v>
      </c>
      <c r="R47" s="119"/>
      <c r="S47" s="120"/>
      <c r="T47" s="29"/>
    </row>
    <row r="48" spans="1:24" s="30" customFormat="1">
      <c r="A48" s="106" t="s">
        <v>47</v>
      </c>
      <c r="B48" s="107"/>
      <c r="C48" s="107"/>
      <c r="D48" s="107"/>
      <c r="E48" s="107"/>
      <c r="F48" s="107"/>
      <c r="G48" s="107"/>
      <c r="H48" s="107"/>
      <c r="I48" s="108"/>
      <c r="J48" s="109">
        <f>J47*0.95</f>
        <v>1602359367.4548688</v>
      </c>
      <c r="K48" s="110"/>
      <c r="L48" s="110"/>
      <c r="M48" s="110"/>
      <c r="N48" s="110"/>
      <c r="O48" s="110"/>
      <c r="P48" s="111"/>
      <c r="Q48" s="136">
        <v>4.3200000000000002E-2</v>
      </c>
      <c r="R48" s="137"/>
      <c r="S48" s="138"/>
      <c r="T48" s="66"/>
      <c r="V48" s="39"/>
    </row>
    <row r="49" spans="1:20" s="30" customFormat="1">
      <c r="A49" s="106" t="s">
        <v>48</v>
      </c>
      <c r="B49" s="107"/>
      <c r="C49" s="107"/>
      <c r="D49" s="107"/>
      <c r="E49" s="107"/>
      <c r="F49" s="107"/>
      <c r="G49" s="107"/>
      <c r="H49" s="107"/>
      <c r="I49" s="108"/>
      <c r="J49" s="109">
        <f>J47*0.9</f>
        <v>1518024663.9046125</v>
      </c>
      <c r="K49" s="110"/>
      <c r="L49" s="110"/>
      <c r="M49" s="110"/>
      <c r="N49" s="110"/>
      <c r="O49" s="110"/>
      <c r="P49" s="111"/>
      <c r="Q49" s="136">
        <v>4.1000000000000002E-2</v>
      </c>
      <c r="R49" s="137"/>
      <c r="S49" s="138"/>
      <c r="T49" s="66"/>
    </row>
    <row r="50" spans="1:20" s="30" customFormat="1">
      <c r="A50" s="4" t="s">
        <v>35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0"/>
      <c r="S50" s="4"/>
      <c r="T50" s="29"/>
    </row>
    <row r="51" spans="1:20" s="1" customFormat="1" ht="23.25" customHeight="1">
      <c r="A51" s="139" t="s">
        <v>27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41"/>
    </row>
    <row r="52" spans="1:20" s="30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29"/>
    </row>
    <row r="53" spans="1:20" ht="6.75" customHeight="1"/>
    <row r="55" spans="1:20" ht="11.25" customHeight="1">
      <c r="A55" s="88" t="s">
        <v>49</v>
      </c>
      <c r="B55" s="88"/>
      <c r="C55" s="88"/>
      <c r="D55" s="88"/>
      <c r="E55" s="88"/>
      <c r="F55" s="88"/>
      <c r="G55" s="88"/>
      <c r="H55" s="58"/>
      <c r="I55" s="88" t="s">
        <v>52</v>
      </c>
      <c r="J55" s="86"/>
      <c r="K55" s="86"/>
      <c r="L55" s="58"/>
      <c r="M55" s="58"/>
      <c r="N55" s="86" t="s">
        <v>74</v>
      </c>
      <c r="O55" s="86"/>
      <c r="P55" s="86"/>
      <c r="Q55" s="86"/>
      <c r="R55" s="86"/>
      <c r="S55" s="86"/>
    </row>
    <row r="56" spans="1:20" ht="11.25" customHeight="1">
      <c r="A56" s="86" t="s">
        <v>54</v>
      </c>
      <c r="B56" s="86"/>
      <c r="C56" s="86"/>
      <c r="D56" s="86"/>
      <c r="E56" s="86"/>
      <c r="F56" s="86"/>
      <c r="G56" s="86"/>
      <c r="H56" s="42"/>
      <c r="I56" s="86" t="s">
        <v>68</v>
      </c>
      <c r="J56" s="86"/>
      <c r="K56" s="86"/>
      <c r="L56" s="42"/>
      <c r="M56" s="78"/>
      <c r="N56" s="86" t="s">
        <v>69</v>
      </c>
      <c r="O56" s="86"/>
      <c r="P56" s="86"/>
      <c r="Q56" s="86"/>
      <c r="R56" s="86"/>
      <c r="S56" s="86"/>
    </row>
    <row r="61" spans="1:20">
      <c r="I61" s="86" t="s">
        <v>29</v>
      </c>
      <c r="J61" s="86"/>
      <c r="K61" s="86"/>
    </row>
    <row r="62" spans="1:20" ht="11.25" customHeight="1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</row>
    <row r="63" spans="1:20" ht="11.25" customHeight="1">
      <c r="I63" s="88" t="s">
        <v>61</v>
      </c>
      <c r="J63" s="88"/>
      <c r="K63" s="88"/>
    </row>
    <row r="64" spans="1:20">
      <c r="I64" s="86" t="s">
        <v>67</v>
      </c>
      <c r="J64" s="86"/>
      <c r="K64" s="86"/>
    </row>
    <row r="66" spans="1:19" ht="11.25" customHeight="1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ht="11.25" customHeight="1"/>
    <row r="68" spans="1:19" ht="11.25" customHeight="1">
      <c r="F68" s="86" t="s">
        <v>55</v>
      </c>
      <c r="G68" s="86"/>
      <c r="H68" s="86"/>
      <c r="L68" s="88" t="s">
        <v>30</v>
      </c>
      <c r="M68" s="88"/>
      <c r="N68" s="88"/>
    </row>
    <row r="69" spans="1:19" ht="11.25" customHeight="1">
      <c r="D69" t="s">
        <v>36</v>
      </c>
      <c r="E69" s="42" t="s">
        <v>31</v>
      </c>
      <c r="F69" s="86" t="s">
        <v>66</v>
      </c>
      <c r="G69" s="86"/>
      <c r="H69" s="86"/>
      <c r="I69" s="42"/>
      <c r="J69" s="42"/>
      <c r="K69" s="42"/>
      <c r="L69" s="86" t="s">
        <v>32</v>
      </c>
      <c r="M69" s="86"/>
      <c r="N69" s="86"/>
      <c r="O69" s="42"/>
      <c r="P69" s="42"/>
      <c r="Q69" s="42"/>
      <c r="R69" s="42"/>
      <c r="S69" s="42"/>
    </row>
    <row r="70" spans="1:19" ht="11.25" customHeight="1">
      <c r="E70" s="42"/>
      <c r="F70" s="58"/>
      <c r="G70" s="58"/>
      <c r="H70" s="58"/>
      <c r="I70" s="42"/>
      <c r="J70" s="42"/>
      <c r="K70" s="42"/>
      <c r="L70" s="58"/>
      <c r="M70" s="58"/>
      <c r="N70" s="58"/>
      <c r="O70" s="42"/>
      <c r="P70" s="42"/>
      <c r="Q70" s="42"/>
      <c r="R70" s="42"/>
      <c r="S70" s="42"/>
    </row>
    <row r="71" spans="1:19" ht="11.25" customHeight="1">
      <c r="D71" t="s">
        <v>36</v>
      </c>
      <c r="E71" s="42" t="s">
        <v>32</v>
      </c>
      <c r="G71" s="42"/>
      <c r="H71" s="42"/>
      <c r="I71" s="42"/>
      <c r="J71" s="42"/>
      <c r="K71" s="42"/>
      <c r="N71" s="42"/>
      <c r="O71" s="42"/>
      <c r="P71" s="42"/>
      <c r="Q71" s="42"/>
      <c r="R71" s="42"/>
      <c r="S71" s="42"/>
    </row>
    <row r="72" spans="1:19" ht="11.25" customHeight="1">
      <c r="I72" s="86" t="s">
        <v>50</v>
      </c>
      <c r="J72" s="86"/>
      <c r="K72" s="86"/>
    </row>
    <row r="73" spans="1:19" ht="11.25" customHeight="1">
      <c r="I73" s="86" t="s">
        <v>33</v>
      </c>
      <c r="J73" s="86"/>
      <c r="K73" s="86"/>
    </row>
    <row r="74" spans="1:19" ht="11.25" customHeight="1">
      <c r="D74" t="s">
        <v>36</v>
      </c>
      <c r="I74" s="86"/>
      <c r="J74" s="86"/>
      <c r="K74" s="86"/>
    </row>
    <row r="75" spans="1:19" ht="11.25" customHeight="1">
      <c r="I75" s="58"/>
      <c r="J75" s="58"/>
      <c r="K75" s="58"/>
    </row>
    <row r="76" spans="1:19" ht="11.2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</row>
    <row r="77" spans="1:19" ht="11.2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</row>
    <row r="78" spans="1:19" ht="11.25" customHeight="1">
      <c r="I78" s="86" t="s">
        <v>60</v>
      </c>
      <c r="J78" s="86"/>
      <c r="K78" s="86"/>
    </row>
    <row r="79" spans="1:19" ht="11.25" customHeight="1">
      <c r="I79" s="86" t="s">
        <v>51</v>
      </c>
      <c r="J79" s="86"/>
      <c r="K79" s="86"/>
    </row>
    <row r="80" spans="1:19">
      <c r="I80" s="88"/>
      <c r="J80" s="88"/>
      <c r="K80" s="88"/>
    </row>
    <row r="82" spans="1:19" ht="11.25" customHeight="1">
      <c r="A82" s="43"/>
      <c r="B82" s="43"/>
      <c r="C82" s="43"/>
      <c r="D82" s="43"/>
      <c r="E82" s="43"/>
      <c r="F82" s="43"/>
      <c r="G82" s="43"/>
      <c r="H82" s="43"/>
      <c r="I82" s="43"/>
      <c r="K82" s="43"/>
      <c r="L82" s="43"/>
      <c r="M82" s="43"/>
      <c r="N82" s="43"/>
      <c r="O82" s="43"/>
      <c r="P82" s="43"/>
      <c r="Q82" s="43"/>
      <c r="R82" s="43"/>
      <c r="S82" s="43"/>
    </row>
    <row r="83" spans="1:19" ht="11.2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</row>
    <row r="84" spans="1:19" ht="11.25" customHeight="1"/>
    <row r="85" spans="1:19" ht="11.25" customHeight="1"/>
    <row r="86" spans="1:19" ht="11.25" customHeight="1">
      <c r="A86" t="s">
        <v>36</v>
      </c>
    </row>
  </sheetData>
  <mergeCells count="61">
    <mergeCell ref="A83:S83"/>
    <mergeCell ref="A56:G56"/>
    <mergeCell ref="I56:K56"/>
    <mergeCell ref="N56:S56"/>
    <mergeCell ref="F69:H69"/>
    <mergeCell ref="L69:N69"/>
    <mergeCell ref="I74:K74"/>
    <mergeCell ref="I61:K61"/>
    <mergeCell ref="I63:K63"/>
    <mergeCell ref="I64:K64"/>
    <mergeCell ref="F68:H68"/>
    <mergeCell ref="L68:N68"/>
    <mergeCell ref="I73:K73"/>
    <mergeCell ref="I79:K79"/>
    <mergeCell ref="I80:K80"/>
    <mergeCell ref="I72:K72"/>
    <mergeCell ref="Q48:S48"/>
    <mergeCell ref="A49:I49"/>
    <mergeCell ref="J49:P49"/>
    <mergeCell ref="Q49:S49"/>
    <mergeCell ref="A51:S51"/>
    <mergeCell ref="A48:I48"/>
    <mergeCell ref="J48:P48"/>
    <mergeCell ref="A41:I41"/>
    <mergeCell ref="J41:P41"/>
    <mergeCell ref="Q41:S41"/>
    <mergeCell ref="A47:I47"/>
    <mergeCell ref="J47:P47"/>
    <mergeCell ref="Q47:S47"/>
    <mergeCell ref="A45:I45"/>
    <mergeCell ref="J45:P45"/>
    <mergeCell ref="Q45:S45"/>
    <mergeCell ref="A46:I46"/>
    <mergeCell ref="J46:P46"/>
    <mergeCell ref="Q46:S46"/>
    <mergeCell ref="A42:I42"/>
    <mergeCell ref="J42:P42"/>
    <mergeCell ref="Q42:S42"/>
    <mergeCell ref="J43:P43"/>
    <mergeCell ref="Q39:S39"/>
    <mergeCell ref="A40:I40"/>
    <mergeCell ref="A39:I39"/>
    <mergeCell ref="J39:P39"/>
    <mergeCell ref="J40:P40"/>
    <mergeCell ref="Q40:S40"/>
    <mergeCell ref="J44:P44"/>
    <mergeCell ref="I78:K78"/>
    <mergeCell ref="A8:S8"/>
    <mergeCell ref="A55:G55"/>
    <mergeCell ref="I55:K55"/>
    <mergeCell ref="N55:S55"/>
    <mergeCell ref="A9:S9"/>
    <mergeCell ref="A10:S10"/>
    <mergeCell ref="A11:S11"/>
    <mergeCell ref="A12:S12"/>
    <mergeCell ref="A13:S13"/>
    <mergeCell ref="F16:S16"/>
    <mergeCell ref="F17:S17"/>
    <mergeCell ref="A18:E18"/>
    <mergeCell ref="F18:R18"/>
    <mergeCell ref="A21:E21"/>
  </mergeCells>
  <printOptions horizontalCentered="1"/>
  <pageMargins left="0.19685039370078741" right="0.19685039370078741" top="0.15748031496062992" bottom="0.15748031496062992" header="0.15748031496062992" footer="0.15748031496062992"/>
  <pageSetup paperSize="9" scale="50" orientation="landscape" r:id="rId1"/>
  <legacyDrawing r:id="rId2"/>
  <oleObjects>
    <oleObject progId="Word.Picture.8" shapeId="1034" r:id="rId3"/>
    <oleObject progId="Word.Picture.8" shapeId="103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E, DF, M</vt:lpstr>
      <vt:lpstr>'Anexo 1 - Pessoal E, DF, 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victor.proenca</cp:lastModifiedBy>
  <cp:lastPrinted>2025-09-24T14:15:07Z</cp:lastPrinted>
  <dcterms:created xsi:type="dcterms:W3CDTF">2019-04-04T12:09:13Z</dcterms:created>
  <dcterms:modified xsi:type="dcterms:W3CDTF">2026-05-22T13:16:49Z</dcterms:modified>
</cp:coreProperties>
</file>